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11640" activeTab="0"/>
  </bookViews>
  <sheets>
    <sheet name="Revised Cap Prog 08-02-06" sheetId="1" r:id="rId1"/>
  </sheets>
  <externalReferences>
    <externalReference r:id="rId4"/>
  </externalReferences>
  <definedNames>
    <definedName name="_xlnm.Print_Area" localSheetId="0">'Revised Cap Prog 08-02-06'!$A$1:$R$154</definedName>
  </definedNames>
  <calcPr fullCalcOnLoad="1"/>
</workbook>
</file>

<file path=xl/sharedStrings.xml><?xml version="1.0" encoding="utf-8"?>
<sst xmlns="http://schemas.openxmlformats.org/spreadsheetml/2006/main" count="402" uniqueCount="110">
  <si>
    <t>2005/2006</t>
  </si>
  <si>
    <t>2006/2007</t>
  </si>
  <si>
    <t>2007/2008</t>
  </si>
  <si>
    <t>2008/2009</t>
  </si>
  <si>
    <t>Prior to</t>
  </si>
  <si>
    <t>Account</t>
  </si>
  <si>
    <t>Detail</t>
  </si>
  <si>
    <t>Original</t>
  </si>
  <si>
    <t>Revised</t>
  </si>
  <si>
    <t>Estimate</t>
  </si>
  <si>
    <t>and beyond</t>
  </si>
  <si>
    <t>1 April 2005</t>
  </si>
  <si>
    <t>Total</t>
  </si>
  <si>
    <t>Code</t>
  </si>
  <si>
    <t>£</t>
  </si>
  <si>
    <t>1. COMMITTED EXPENDITURE</t>
  </si>
  <si>
    <t xml:space="preserve">   1. CULTURAL, LEISURE &amp; COMMERCIAL SERVICES</t>
  </si>
  <si>
    <t xml:space="preserve">       Recycling: Extension to Scheme - Vehicles &amp; Containers</t>
  </si>
  <si>
    <t>-</t>
  </si>
  <si>
    <t xml:space="preserve">       Recycling: Waste Performance &amp; Efficiency Expenditure</t>
  </si>
  <si>
    <t xml:space="preserve">       Public Conveniences: Enhancement Programme</t>
  </si>
  <si>
    <t xml:space="preserve">       Public Conveniences: Infrastructure and Servicing</t>
  </si>
  <si>
    <t xml:space="preserve">       Rowland Hill Public Conveniences Refurbishment</t>
  </si>
  <si>
    <t xml:space="preserve">       Municipal Cemetery: Purchase of Land</t>
  </si>
  <si>
    <t xml:space="preserve">       Cemetery Main Roadway</t>
  </si>
  <si>
    <t xml:space="preserve">       St Mary's Churchyard Boundary Wall</t>
  </si>
  <si>
    <t xml:space="preserve">       St Mary's Retaining Wall</t>
  </si>
  <si>
    <t xml:space="preserve">       Wyre Forest Glades: Plant Replacement </t>
  </si>
  <si>
    <t xml:space="preserve">       Wyre Forest Glades: Capital Grant towards Refurbishment</t>
  </si>
  <si>
    <t xml:space="preserve">       Glades 'Contingency': Floor Replacement, DDA and Alarms</t>
  </si>
  <si>
    <t xml:space="preserve">       Play Equipment: Replacement/Repairs Programme  </t>
  </si>
  <si>
    <t xml:space="preserve">       Play Equipment: Improvements to St Georges Park</t>
  </si>
  <si>
    <t xml:space="preserve">       Paddling Pools: Repairs to Brinton Park &amp; Riverside Pools</t>
  </si>
  <si>
    <t xml:space="preserve">       Skateboard Park at Brinton Park</t>
  </si>
  <si>
    <t xml:space="preserve">       Stourport Footpath (subject to S.106 agreement)</t>
  </si>
  <si>
    <t xml:space="preserve">       Liveability Scheme: Brinton Park</t>
  </si>
  <si>
    <t xml:space="preserve">       Liveability Scheme: QEII Gardens</t>
  </si>
  <si>
    <t xml:space="preserve">       White Wickets Changing Facility</t>
  </si>
  <si>
    <t xml:space="preserve">       Spennells Playing Field: Youth Shelter</t>
  </si>
  <si>
    <t xml:space="preserve">       General Cleansing: Geographic Working</t>
  </si>
  <si>
    <t xml:space="preserve">       Old Pals Shelter: Refurbishment</t>
  </si>
  <si>
    <t xml:space="preserve">       Local Public Service Agreement Scheme: Sport &amp; Recreation</t>
  </si>
  <si>
    <t xml:space="preserve">       Parking Facilities: Payment under Contractual Agreement</t>
  </si>
  <si>
    <t xml:space="preserve">       Parking Facilities: Future Car Parking Contingency </t>
  </si>
  <si>
    <t xml:space="preserve">       Parking Facilities: Remedial/Safety Work to existing Car Parks</t>
  </si>
  <si>
    <t xml:space="preserve">       Parking Facilities: Improvement to Car Parks</t>
  </si>
  <si>
    <t xml:space="preserve">       Decriminalisation of Parking Enforcement</t>
  </si>
  <si>
    <t xml:space="preserve">       Car Parks Oil Interceptors</t>
  </si>
  <si>
    <t xml:space="preserve">       Vale Road Crossing</t>
  </si>
  <si>
    <t xml:space="preserve">       Administrative Buildings: Imp. Works for Disabled</t>
  </si>
  <si>
    <t xml:space="preserve">       Vicar Street Lease Surrender Contingency</t>
  </si>
  <si>
    <t xml:space="preserve">       Duke House Refurbishment</t>
  </si>
  <si>
    <t>1. COMMITTED EXPENDITURE (Continued)</t>
  </si>
  <si>
    <t xml:space="preserve">   1. CULTURAL, LEISURE &amp; COMMERCIAL SERVICES (Cont)</t>
  </si>
  <si>
    <t xml:space="preserve">       Worcestershire Hub: Contribution to WCC</t>
  </si>
  <si>
    <t xml:space="preserve">       Worcestershire Hub: Town Hall Conversion</t>
  </si>
  <si>
    <t xml:space="preserve">       Worcestershire Hub: Vicar Street Offices Refurbishment</t>
  </si>
  <si>
    <t xml:space="preserve">       Worcestershire Hub: Civic Centre Reception Remodelling</t>
  </si>
  <si>
    <t xml:space="preserve">       Worcestershire Hub: Bewdley TIC Remodelling</t>
  </si>
  <si>
    <t xml:space="preserve">       Rushock Trading Estate: Repairs &amp; Maintenance</t>
  </si>
  <si>
    <t xml:space="preserve">   2. PLANNING, HEALTH &amp; ENVIRONMENT</t>
  </si>
  <si>
    <t xml:space="preserve">       Housing Strategy:</t>
  </si>
  <si>
    <t xml:space="preserve">       Disabled Facilities Grants</t>
  </si>
  <si>
    <t xml:space="preserve">       Affordable Housing Grants to Registered Social Landlords</t>
  </si>
  <si>
    <t xml:space="preserve">       Private Sector Housing Conditions: Improvements Initiative</t>
  </si>
  <si>
    <t xml:space="preserve">       Community Alarm Equipment Grant</t>
  </si>
  <si>
    <t xml:space="preserve"> </t>
  </si>
  <si>
    <t xml:space="preserve">       Conservation Area: Listed &amp; Heritage Buildings  </t>
  </si>
  <si>
    <t xml:space="preserve">       Conservation of the Historic Environment</t>
  </si>
  <si>
    <t xml:space="preserve">       Sustainable Transport: Enhance Pedestrian Access</t>
  </si>
  <si>
    <t xml:space="preserve">       Environmental Improvements - Stourport-on-Severn</t>
  </si>
  <si>
    <t xml:space="preserve">   4. HUMAN RESOURCES</t>
  </si>
  <si>
    <t xml:space="preserve">       Implementing Electronic Government</t>
  </si>
  <si>
    <t xml:space="preserve">       ICT Investment: Corporate &amp; Benefits Workflow/D.I.P.</t>
  </si>
  <si>
    <t xml:space="preserve">       Software &amp; Network Licenses</t>
  </si>
  <si>
    <t xml:space="preserve">       Software - Sports &amp; Leisure Facilities</t>
  </si>
  <si>
    <t xml:space="preserve">   5. STRATEGY &amp; PERFORMANCE UNIT</t>
  </si>
  <si>
    <t xml:space="preserve">       CCTV Kidderminster Town Centre</t>
  </si>
  <si>
    <t xml:space="preserve">       CCTV - Stourport-on-Severn &amp; Bewdley (Contingency)</t>
  </si>
  <si>
    <t xml:space="preserve">       Grants to Voluntary Bodies: CAB</t>
  </si>
  <si>
    <t xml:space="preserve">   6. LEGAL &amp; DEMOCRATIC SERVICES</t>
  </si>
  <si>
    <t xml:space="preserve">       Capital Grant towards Rebuilding Queensway Wall</t>
  </si>
  <si>
    <t xml:space="preserve">       Land Charges: MIS System</t>
  </si>
  <si>
    <t xml:space="preserve">   7. VEHICLE, EQUIPMENT &amp; SYSTEMS RENEWAL SCHEDULE</t>
  </si>
  <si>
    <t>TOTAL COMMITTED EXPENDITURE</t>
  </si>
  <si>
    <t>2. FINANCING</t>
  </si>
  <si>
    <t xml:space="preserve">      Capital Receipts: General</t>
  </si>
  <si>
    <t xml:space="preserve">      Capital Receipts: Housing</t>
  </si>
  <si>
    <t xml:space="preserve">      Disabled Facilities Grant</t>
  </si>
  <si>
    <t xml:space="preserve">      Sale of Land Oak &amp; Coventry Street Premises</t>
  </si>
  <si>
    <t xml:space="preserve">      KTC 3 Receipt</t>
  </si>
  <si>
    <t xml:space="preserve">      Worcestershire County Council Grant (Hub)</t>
  </si>
  <si>
    <t xml:space="preserve">      Liveability/Heritage Lottery Grant Funding</t>
  </si>
  <si>
    <t xml:space="preserve">      Local Public Service Agreement Scheme Grant: WCC</t>
  </si>
  <si>
    <t xml:space="preserve">      Implementing Electronic Government Grant</t>
  </si>
  <si>
    <t xml:space="preserve">      Implementing Electronic Government Grant (Hub)</t>
  </si>
  <si>
    <t xml:space="preserve">      Grant from DEFRA for Recycling</t>
  </si>
  <si>
    <t xml:space="preserve">      Grant towards Rowland Hill Public Conveniences Refurbishment</t>
  </si>
  <si>
    <t xml:space="preserve">      Waste Performance &amp; Efficiency Grant</t>
  </si>
  <si>
    <t xml:space="preserve">      S.106 Funding (CCTV)</t>
  </si>
  <si>
    <t xml:space="preserve">      S.106 Funding (Parking)</t>
  </si>
  <si>
    <t xml:space="preserve">      S.106 Funding (Cattle Market)</t>
  </si>
  <si>
    <t xml:space="preserve">      S.106 Funding (Sustainable Transport)</t>
  </si>
  <si>
    <t xml:space="preserve">      S.106 Funding (Affordable Housing)</t>
  </si>
  <si>
    <t xml:space="preserve">      Vehicle, Equipment &amp; Systems Renewal (Prudential Borrowing)</t>
  </si>
  <si>
    <t xml:space="preserve">      Direct Revenue Funding</t>
  </si>
  <si>
    <t>NOTE</t>
  </si>
  <si>
    <t>Original Budget based upon the Amended Capital Programme 2005/2006 approved by Cabinet on 25th August 2005</t>
  </si>
  <si>
    <r>
      <t xml:space="preserve">       KTC 3 Disposal </t>
    </r>
    <r>
      <rPr>
        <sz val="8"/>
        <rFont val="Arial"/>
        <family val="2"/>
      </rPr>
      <t>(Costs to be deducted from future Capital Receipt)</t>
    </r>
  </si>
  <si>
    <t>APPENDIX 4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</si>
</sst>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"/>
    <numFmt numFmtId="165" formatCode="#,##0.00;\(#,##0.00\)"/>
    <numFmt numFmtId="166" formatCode="#,##0;[Red]\(#,##0\)"/>
  </numFmts>
  <fonts count="7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 quotePrefix="1">
      <alignment horizontal="center"/>
    </xf>
    <xf numFmtId="0" fontId="1" fillId="0" borderId="5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1" fontId="1" fillId="0" borderId="5" xfId="0" applyNumberFormat="1" applyFont="1" applyBorder="1" applyAlignment="1" quotePrefix="1">
      <alignment horizontal="center"/>
    </xf>
    <xf numFmtId="0" fontId="0" fillId="0" borderId="8" xfId="0" applyBorder="1" applyAlignment="1">
      <alignment horizontal="center"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8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3" fillId="0" borderId="6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5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6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/>
    </xf>
    <xf numFmtId="3" fontId="0" fillId="0" borderId="5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ont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7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right"/>
    </xf>
    <xf numFmtId="3" fontId="0" fillId="0" borderId="9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8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6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/>
    </xf>
    <xf numFmtId="3" fontId="6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1" fillId="0" borderId="6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1" fontId="1" fillId="0" borderId="6" xfId="0" applyNumberFormat="1" applyFont="1" applyBorder="1" applyAlignment="1" quotePrefix="1">
      <alignment horizontal="center"/>
    </xf>
    <xf numFmtId="3" fontId="1" fillId="0" borderId="9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5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0" fontId="1" fillId="0" borderId="0" xfId="0" applyFont="1" applyBorder="1" applyAlignment="1">
      <alignment textRotation="180"/>
    </xf>
    <xf numFmtId="0" fontId="1" fillId="0" borderId="0" xfId="0" applyFont="1" applyBorder="1" applyAlignment="1">
      <alignment/>
    </xf>
    <xf numFmtId="3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Border="1" applyAlignment="1">
      <alignment vertical="top" textRotation="180"/>
    </xf>
    <xf numFmtId="0" fontId="4" fillId="0" borderId="0" xfId="0" applyFont="1" applyBorder="1" applyAlignment="1">
      <alignment vertical="top"/>
    </xf>
    <xf numFmtId="3" fontId="1" fillId="0" borderId="16" xfId="0" applyNumberFormat="1" applyFont="1" applyBorder="1" applyAlignment="1" quotePrefix="1">
      <alignment horizontal="center"/>
    </xf>
    <xf numFmtId="0" fontId="0" fillId="0" borderId="17" xfId="0" applyBorder="1" applyAlignment="1">
      <alignment/>
    </xf>
    <xf numFmtId="0" fontId="1" fillId="0" borderId="6" xfId="0" applyFont="1" applyBorder="1" applyAlignment="1">
      <alignment textRotation="180"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saH\EXCEL\Capital%20Programme\Capital%20Programme%200506%20WORKING%20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 prog 2005 as at 26-09-05"/>
      <sheetName val="cap prog as at 30-09-05"/>
      <sheetName val="cap prog as at 14-10-05 "/>
      <sheetName val="cap prog as at 07-11-05"/>
      <sheetName val="cap prog 07-11-05 print-bud rep"/>
      <sheetName val="renewal schedule 07-11-05"/>
      <sheetName val="renewal schedule with fleet nos"/>
      <sheetName val="Revised Cap Prog 06-01-06"/>
      <sheetName val="Revised Cap Prog 08-02-06"/>
      <sheetName val="budget book info 2"/>
      <sheetName val="Sheet1"/>
    </sheetNames>
    <sheetDataSet>
      <sheetData sheetId="5">
        <row r="68">
          <cell r="H68">
            <v>688210</v>
          </cell>
          <cell r="I68">
            <v>904000</v>
          </cell>
          <cell r="J68">
            <v>653000</v>
          </cell>
          <cell r="K68">
            <v>450000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1"/>
  <sheetViews>
    <sheetView tabSelected="1" workbookViewId="0" topLeftCell="B121">
      <selection activeCell="R144" sqref="R144:R151"/>
    </sheetView>
  </sheetViews>
  <sheetFormatPr defaultColWidth="9.140625" defaultRowHeight="12.75"/>
  <cols>
    <col min="1" max="1" width="0" style="1" hidden="1" customWidth="1"/>
    <col min="2" max="2" width="19.28125" style="0" customWidth="1"/>
    <col min="5" max="5" width="19.140625" style="0" customWidth="1"/>
    <col min="6" max="6" width="10.7109375" style="0" customWidth="1"/>
    <col min="7" max="7" width="9.421875" style="0" customWidth="1"/>
    <col min="8" max="10" width="11.57421875" style="0" customWidth="1"/>
    <col min="11" max="11" width="12.00390625" style="0" customWidth="1"/>
    <col min="12" max="12" width="10.140625" style="0" customWidth="1"/>
    <col min="13" max="16" width="4.57421875" style="0" customWidth="1"/>
    <col min="17" max="17" width="5.00390625" style="0" customWidth="1"/>
    <col min="18" max="18" width="5.7109375" style="0" customWidth="1"/>
    <col min="19" max="19" width="12.57421875" style="0" customWidth="1"/>
  </cols>
  <sheetData>
    <row r="1" spans="1:12" ht="12.75">
      <c r="A1" s="4"/>
      <c r="B1" s="5"/>
      <c r="C1" s="6"/>
      <c r="D1" s="6"/>
      <c r="E1" s="7"/>
      <c r="F1" s="86" t="s">
        <v>0</v>
      </c>
      <c r="G1" s="87"/>
      <c r="H1" s="2" t="s">
        <v>1</v>
      </c>
      <c r="I1" s="2" t="s">
        <v>2</v>
      </c>
      <c r="J1" s="8" t="s">
        <v>3</v>
      </c>
      <c r="K1" s="3" t="s">
        <v>4</v>
      </c>
      <c r="L1" s="3"/>
    </row>
    <row r="2" spans="1:12" ht="12.75">
      <c r="A2" s="9" t="s">
        <v>5</v>
      </c>
      <c r="B2" s="90" t="s">
        <v>6</v>
      </c>
      <c r="C2" s="91"/>
      <c r="D2" s="91"/>
      <c r="E2" s="92"/>
      <c r="F2" s="12" t="s">
        <v>7</v>
      </c>
      <c r="G2" s="13" t="s">
        <v>8</v>
      </c>
      <c r="H2" s="13" t="s">
        <v>9</v>
      </c>
      <c r="I2" s="13" t="s">
        <v>9</v>
      </c>
      <c r="J2" s="14" t="s">
        <v>10</v>
      </c>
      <c r="K2" s="15" t="s">
        <v>11</v>
      </c>
      <c r="L2" s="13" t="s">
        <v>12</v>
      </c>
    </row>
    <row r="3" spans="1:12" ht="12.75">
      <c r="A3" s="9" t="s">
        <v>13</v>
      </c>
      <c r="B3" s="10"/>
      <c r="C3" s="1"/>
      <c r="D3" s="1"/>
      <c r="E3" s="11"/>
      <c r="F3" s="16"/>
      <c r="G3" s="13"/>
      <c r="H3" s="13"/>
      <c r="I3" s="13"/>
      <c r="J3" s="14"/>
      <c r="K3" s="17"/>
      <c r="L3" s="13"/>
    </row>
    <row r="4" spans="1:12" ht="12.75">
      <c r="A4" s="18"/>
      <c r="B4" s="19"/>
      <c r="C4" s="20"/>
      <c r="D4" s="20"/>
      <c r="E4" s="21"/>
      <c r="F4" s="22" t="s">
        <v>14</v>
      </c>
      <c r="G4" s="22" t="s">
        <v>14</v>
      </c>
      <c r="H4" s="22" t="s">
        <v>14</v>
      </c>
      <c r="I4" s="22" t="s">
        <v>14</v>
      </c>
      <c r="J4" s="22" t="s">
        <v>14</v>
      </c>
      <c r="K4" s="22" t="s">
        <v>14</v>
      </c>
      <c r="L4" s="22" t="s">
        <v>14</v>
      </c>
    </row>
    <row r="5" spans="1:12" ht="12.75">
      <c r="A5" s="4"/>
      <c r="B5" s="23"/>
      <c r="C5" s="24"/>
      <c r="D5" s="24"/>
      <c r="E5" s="25"/>
      <c r="F5" s="12"/>
      <c r="G5" s="13"/>
      <c r="H5" s="13"/>
      <c r="I5" s="26"/>
      <c r="J5" s="13"/>
      <c r="K5" s="12"/>
      <c r="L5" s="12"/>
    </row>
    <row r="6" spans="1:12" ht="15.75">
      <c r="A6" s="27"/>
      <c r="B6" s="28" t="s">
        <v>15</v>
      </c>
      <c r="C6" s="29"/>
      <c r="D6" s="29"/>
      <c r="E6" s="30"/>
      <c r="F6" s="30"/>
      <c r="G6" s="31"/>
      <c r="H6" s="31"/>
      <c r="I6" s="32"/>
      <c r="J6" s="33"/>
      <c r="K6" s="31"/>
      <c r="L6" s="34"/>
    </row>
    <row r="7" spans="1:12" ht="6" customHeight="1">
      <c r="A7" s="27"/>
      <c r="B7" s="28"/>
      <c r="C7" s="29"/>
      <c r="D7" s="29"/>
      <c r="E7" s="30"/>
      <c r="F7" s="30"/>
      <c r="G7" s="31"/>
      <c r="H7" s="31"/>
      <c r="I7" s="32"/>
      <c r="J7" s="33"/>
      <c r="K7" s="31"/>
      <c r="L7" s="34"/>
    </row>
    <row r="8" spans="1:12" ht="12.75">
      <c r="A8" s="27"/>
      <c r="B8" s="23" t="s">
        <v>16</v>
      </c>
      <c r="C8" s="29"/>
      <c r="D8" s="29"/>
      <c r="E8" s="30"/>
      <c r="F8" s="30"/>
      <c r="G8" s="31"/>
      <c r="H8" s="31"/>
      <c r="I8" s="29"/>
      <c r="J8" s="35"/>
      <c r="K8" s="36"/>
      <c r="L8" s="30"/>
    </row>
    <row r="9" spans="1:12" ht="6" customHeight="1">
      <c r="A9" s="27"/>
      <c r="B9" s="23"/>
      <c r="C9" s="29"/>
      <c r="D9" s="29"/>
      <c r="E9" s="30"/>
      <c r="F9" s="30"/>
      <c r="G9" s="31"/>
      <c r="H9" s="31"/>
      <c r="I9" s="29"/>
      <c r="J9" s="35"/>
      <c r="K9" s="36"/>
      <c r="L9" s="30"/>
    </row>
    <row r="10" spans="1:12" ht="12.75">
      <c r="A10" s="37">
        <v>98500</v>
      </c>
      <c r="B10" s="38" t="s">
        <v>17</v>
      </c>
      <c r="C10" s="29"/>
      <c r="D10" s="29"/>
      <c r="E10" s="30"/>
      <c r="F10" s="30">
        <v>187350</v>
      </c>
      <c r="G10" s="39">
        <f>90000-29060+126410</f>
        <v>187350</v>
      </c>
      <c r="H10" s="40" t="s">
        <v>18</v>
      </c>
      <c r="I10" s="41" t="s">
        <v>18</v>
      </c>
      <c r="J10" s="41" t="s">
        <v>18</v>
      </c>
      <c r="K10" s="39">
        <f>1008130+88330</f>
        <v>1096460</v>
      </c>
      <c r="L10" s="30">
        <f>SUM(G10:K10)</f>
        <v>1283810</v>
      </c>
    </row>
    <row r="11" spans="1:12" ht="12.75">
      <c r="A11" s="37"/>
      <c r="B11" s="38" t="s">
        <v>19</v>
      </c>
      <c r="C11" s="29"/>
      <c r="D11" s="29"/>
      <c r="E11" s="30"/>
      <c r="F11" s="34" t="s">
        <v>18</v>
      </c>
      <c r="G11" s="40" t="s">
        <v>18</v>
      </c>
      <c r="H11" s="39">
        <v>40410</v>
      </c>
      <c r="I11" s="42">
        <v>42320</v>
      </c>
      <c r="J11" s="41" t="s">
        <v>18</v>
      </c>
      <c r="K11" s="40" t="s">
        <v>18</v>
      </c>
      <c r="L11" s="30">
        <f>SUM(G11:K11)</f>
        <v>82730</v>
      </c>
    </row>
    <row r="12" spans="1:12" ht="6" customHeight="1">
      <c r="A12" s="27"/>
      <c r="B12" s="38"/>
      <c r="C12" s="29"/>
      <c r="D12" s="29"/>
      <c r="E12" s="30"/>
      <c r="F12" s="30"/>
      <c r="G12" s="39"/>
      <c r="H12" s="40"/>
      <c r="I12" s="43"/>
      <c r="J12" s="41"/>
      <c r="K12" s="39"/>
      <c r="L12" s="30"/>
    </row>
    <row r="13" spans="1:12" ht="12.75">
      <c r="A13" s="27">
        <v>98020</v>
      </c>
      <c r="B13" s="44" t="s">
        <v>20</v>
      </c>
      <c r="C13" s="29"/>
      <c r="D13" s="29"/>
      <c r="E13" s="30"/>
      <c r="F13" s="30">
        <v>27580</v>
      </c>
      <c r="G13" s="39">
        <f>27320+260</f>
        <v>27580</v>
      </c>
      <c r="H13" s="40" t="s">
        <v>18</v>
      </c>
      <c r="I13" s="43" t="s">
        <v>18</v>
      </c>
      <c r="J13" s="41" t="s">
        <v>18</v>
      </c>
      <c r="K13" s="39">
        <f>12890+59600+13740</f>
        <v>86230</v>
      </c>
      <c r="L13" s="30">
        <f>SUM(G13:K13)</f>
        <v>113810</v>
      </c>
    </row>
    <row r="14" spans="1:12" ht="13.5" customHeight="1">
      <c r="A14" s="27"/>
      <c r="B14" s="44" t="s">
        <v>21</v>
      </c>
      <c r="C14" s="29"/>
      <c r="D14" s="29"/>
      <c r="E14" s="30"/>
      <c r="F14" s="30"/>
      <c r="G14" s="39"/>
      <c r="H14" s="39">
        <v>100000</v>
      </c>
      <c r="I14" s="43"/>
      <c r="J14" s="41"/>
      <c r="K14" s="39"/>
      <c r="L14" s="30">
        <f>SUM(G14:K14)</f>
        <v>100000</v>
      </c>
    </row>
    <row r="15" spans="1:12" ht="12.75" customHeight="1">
      <c r="A15" s="27"/>
      <c r="B15" s="45" t="s">
        <v>22</v>
      </c>
      <c r="C15" s="29"/>
      <c r="D15" s="29"/>
      <c r="E15" s="30"/>
      <c r="F15" s="30">
        <v>40000</v>
      </c>
      <c r="G15" s="39">
        <f>20000+20000</f>
        <v>40000</v>
      </c>
      <c r="H15" s="40" t="s">
        <v>18</v>
      </c>
      <c r="I15" s="43" t="s">
        <v>18</v>
      </c>
      <c r="J15" s="41" t="s">
        <v>18</v>
      </c>
      <c r="K15" s="40" t="s">
        <v>18</v>
      </c>
      <c r="L15" s="30">
        <f>SUM(G15:K15)</f>
        <v>40000</v>
      </c>
    </row>
    <row r="16" spans="1:12" ht="6" customHeight="1">
      <c r="A16" s="27"/>
      <c r="B16" s="45"/>
      <c r="C16" s="29"/>
      <c r="D16" s="29"/>
      <c r="E16" s="30"/>
      <c r="F16" s="30"/>
      <c r="G16" s="39"/>
      <c r="H16" s="40"/>
      <c r="I16" s="43"/>
      <c r="J16" s="41"/>
      <c r="K16" s="40"/>
      <c r="L16" s="30"/>
    </row>
    <row r="17" spans="1:12" ht="12.75">
      <c r="A17" s="27">
        <v>98030</v>
      </c>
      <c r="B17" s="44" t="s">
        <v>23</v>
      </c>
      <c r="C17" s="29"/>
      <c r="D17" s="29"/>
      <c r="E17" s="30"/>
      <c r="F17" s="30">
        <v>344290</v>
      </c>
      <c r="G17" s="39">
        <f>150000+186380+7910</f>
        <v>344290</v>
      </c>
      <c r="H17" s="40" t="s">
        <v>18</v>
      </c>
      <c r="I17" s="43" t="s">
        <v>18</v>
      </c>
      <c r="J17" s="41" t="s">
        <v>18</v>
      </c>
      <c r="K17" s="39">
        <f>640+2980+2090</f>
        <v>5710</v>
      </c>
      <c r="L17" s="30">
        <f>SUM(G17:K17)</f>
        <v>350000</v>
      </c>
    </row>
    <row r="18" spans="1:12" ht="12.75">
      <c r="A18" s="27">
        <v>98035</v>
      </c>
      <c r="B18" s="44" t="s">
        <v>24</v>
      </c>
      <c r="C18" s="29"/>
      <c r="D18" s="29"/>
      <c r="E18" s="30"/>
      <c r="F18" s="30">
        <v>28000</v>
      </c>
      <c r="G18" s="39">
        <v>28000</v>
      </c>
      <c r="H18" s="40" t="s">
        <v>18</v>
      </c>
      <c r="I18" s="43" t="s">
        <v>18</v>
      </c>
      <c r="J18" s="41" t="s">
        <v>18</v>
      </c>
      <c r="K18" s="40" t="s">
        <v>18</v>
      </c>
      <c r="L18" s="30">
        <f>SUM(G18:K18)</f>
        <v>28000</v>
      </c>
    </row>
    <row r="19" spans="1:12" ht="12.75">
      <c r="A19" s="27">
        <v>98084</v>
      </c>
      <c r="B19" s="44" t="s">
        <v>25</v>
      </c>
      <c r="C19" s="29"/>
      <c r="D19" s="29"/>
      <c r="E19" s="30"/>
      <c r="F19" s="30">
        <v>25200</v>
      </c>
      <c r="G19" s="39">
        <f>25260-60</f>
        <v>25200</v>
      </c>
      <c r="H19" s="40" t="s">
        <v>18</v>
      </c>
      <c r="I19" s="40" t="s">
        <v>18</v>
      </c>
      <c r="J19" s="43" t="s">
        <v>18</v>
      </c>
      <c r="K19" s="39">
        <f>14040+560</f>
        <v>14600</v>
      </c>
      <c r="L19" s="30">
        <f>SUM(G19:K19)</f>
        <v>39800</v>
      </c>
    </row>
    <row r="20" spans="1:12" ht="12.75" customHeight="1">
      <c r="A20" s="27">
        <v>98086</v>
      </c>
      <c r="B20" s="44" t="s">
        <v>26</v>
      </c>
      <c r="C20" s="29"/>
      <c r="D20" s="29"/>
      <c r="E20" s="30"/>
      <c r="F20" s="30">
        <v>49000</v>
      </c>
      <c r="G20" s="39">
        <f>46000+3000</f>
        <v>49000</v>
      </c>
      <c r="H20" s="40" t="s">
        <v>18</v>
      </c>
      <c r="I20" s="40" t="s">
        <v>18</v>
      </c>
      <c r="J20" s="43" t="s">
        <v>18</v>
      </c>
      <c r="K20" s="40" t="s">
        <v>18</v>
      </c>
      <c r="L20" s="30">
        <f>SUM(G20:K20)</f>
        <v>49000</v>
      </c>
    </row>
    <row r="21" spans="1:12" ht="6" customHeight="1">
      <c r="A21" s="27"/>
      <c r="B21" s="44"/>
      <c r="C21" s="29"/>
      <c r="D21" s="29"/>
      <c r="E21" s="30"/>
      <c r="F21" s="30"/>
      <c r="G21" s="39"/>
      <c r="H21" s="40"/>
      <c r="I21" s="40"/>
      <c r="J21" s="46"/>
      <c r="K21" s="46"/>
      <c r="L21" s="30"/>
    </row>
    <row r="22" spans="1:12" ht="12.75">
      <c r="A22" s="27"/>
      <c r="B22" s="35" t="s">
        <v>27</v>
      </c>
      <c r="C22" s="29"/>
      <c r="D22" s="29"/>
      <c r="E22" s="30"/>
      <c r="F22" s="30">
        <v>342000</v>
      </c>
      <c r="G22" s="40" t="s">
        <v>18</v>
      </c>
      <c r="H22" s="39">
        <f>342000+100000</f>
        <v>442000</v>
      </c>
      <c r="I22" s="40" t="s">
        <v>18</v>
      </c>
      <c r="J22" s="46" t="s">
        <v>18</v>
      </c>
      <c r="K22" s="47">
        <f>49390+2180</f>
        <v>51570</v>
      </c>
      <c r="L22" s="30">
        <f>SUM(G22:K22)</f>
        <v>493570</v>
      </c>
    </row>
    <row r="23" spans="1:12" ht="12.75">
      <c r="A23" s="27"/>
      <c r="B23" s="35" t="s">
        <v>28</v>
      </c>
      <c r="C23" s="29"/>
      <c r="D23" s="29"/>
      <c r="E23" s="30"/>
      <c r="F23" s="30">
        <v>350000</v>
      </c>
      <c r="G23" s="40" t="s">
        <v>18</v>
      </c>
      <c r="H23" s="39">
        <v>350000</v>
      </c>
      <c r="I23" s="40" t="s">
        <v>18</v>
      </c>
      <c r="J23" s="46" t="s">
        <v>18</v>
      </c>
      <c r="K23" s="46" t="s">
        <v>18</v>
      </c>
      <c r="L23" s="30">
        <f>SUM(G23:K23)</f>
        <v>350000</v>
      </c>
    </row>
    <row r="24" spans="1:12" ht="12.75" customHeight="1">
      <c r="A24" s="27">
        <v>98026</v>
      </c>
      <c r="B24" s="45" t="s">
        <v>29</v>
      </c>
      <c r="C24" s="29"/>
      <c r="D24" s="29"/>
      <c r="E24" s="30"/>
      <c r="F24" s="30">
        <v>80000</v>
      </c>
      <c r="G24" s="40" t="s">
        <v>18</v>
      </c>
      <c r="H24" s="39">
        <v>80000</v>
      </c>
      <c r="I24" s="40" t="s">
        <v>18</v>
      </c>
      <c r="J24" s="46" t="s">
        <v>18</v>
      </c>
      <c r="K24" s="46" t="s">
        <v>18</v>
      </c>
      <c r="L24" s="30">
        <f>SUM(G24:K24)</f>
        <v>80000</v>
      </c>
    </row>
    <row r="25" spans="1:12" ht="6" customHeight="1">
      <c r="A25" s="27"/>
      <c r="B25" s="45"/>
      <c r="C25" s="29"/>
      <c r="D25" s="29"/>
      <c r="E25" s="30"/>
      <c r="F25" s="30"/>
      <c r="G25" s="40"/>
      <c r="H25" s="39"/>
      <c r="I25" s="40"/>
      <c r="J25" s="46"/>
      <c r="K25" s="46"/>
      <c r="L25" s="30"/>
    </row>
    <row r="26" spans="1:12" ht="12.75">
      <c r="A26" s="27">
        <v>98015</v>
      </c>
      <c r="B26" s="44" t="s">
        <v>30</v>
      </c>
      <c r="C26" s="29"/>
      <c r="D26" s="29"/>
      <c r="E26" s="30"/>
      <c r="F26" s="30">
        <v>261890</v>
      </c>
      <c r="G26" s="39">
        <f>100000+161890</f>
        <v>261890</v>
      </c>
      <c r="H26" s="39">
        <v>115000</v>
      </c>
      <c r="I26" s="40" t="s">
        <v>18</v>
      </c>
      <c r="J26" s="46" t="s">
        <v>18</v>
      </c>
      <c r="K26" s="47">
        <f>19490+9400+202220</f>
        <v>231110</v>
      </c>
      <c r="L26" s="30">
        <f aca="true" t="shared" si="0" ref="L26:L37">SUM(G26:K26)</f>
        <v>608000</v>
      </c>
    </row>
    <row r="27" spans="1:12" ht="12.75">
      <c r="A27" s="27"/>
      <c r="B27" s="44" t="s">
        <v>31</v>
      </c>
      <c r="C27" s="29"/>
      <c r="D27" s="29"/>
      <c r="E27" s="30"/>
      <c r="F27" s="40" t="s">
        <v>18</v>
      </c>
      <c r="G27" s="39">
        <v>30000</v>
      </c>
      <c r="H27" s="40" t="s">
        <v>18</v>
      </c>
      <c r="I27" s="40" t="s">
        <v>18</v>
      </c>
      <c r="J27" s="46" t="s">
        <v>18</v>
      </c>
      <c r="K27" s="46" t="s">
        <v>18</v>
      </c>
      <c r="L27" s="30">
        <f t="shared" si="0"/>
        <v>30000</v>
      </c>
    </row>
    <row r="28" spans="1:12" ht="12.75">
      <c r="A28" s="27">
        <v>98051</v>
      </c>
      <c r="B28" s="44" t="s">
        <v>32</v>
      </c>
      <c r="C28" s="29"/>
      <c r="D28" s="29"/>
      <c r="E28" s="30"/>
      <c r="F28" s="30">
        <v>12530</v>
      </c>
      <c r="G28" s="39">
        <v>12530</v>
      </c>
      <c r="H28" s="40" t="s">
        <v>18</v>
      </c>
      <c r="I28" s="40" t="s">
        <v>18</v>
      </c>
      <c r="J28" s="46" t="s">
        <v>18</v>
      </c>
      <c r="K28" s="47">
        <v>2470</v>
      </c>
      <c r="L28" s="30">
        <f t="shared" si="0"/>
        <v>15000</v>
      </c>
    </row>
    <row r="29" spans="1:12" ht="12.75">
      <c r="A29" s="27">
        <v>98054</v>
      </c>
      <c r="B29" s="44" t="s">
        <v>33</v>
      </c>
      <c r="C29" s="29"/>
      <c r="D29" s="29"/>
      <c r="E29" s="30"/>
      <c r="F29" s="30">
        <v>60000</v>
      </c>
      <c r="G29" s="39">
        <v>60000</v>
      </c>
      <c r="H29" s="40" t="s">
        <v>18</v>
      </c>
      <c r="I29" s="40" t="s">
        <v>18</v>
      </c>
      <c r="J29" s="46" t="s">
        <v>18</v>
      </c>
      <c r="K29" s="46" t="s">
        <v>18</v>
      </c>
      <c r="L29" s="30">
        <f t="shared" si="0"/>
        <v>60000</v>
      </c>
    </row>
    <row r="30" spans="1:12" ht="12.75">
      <c r="A30" s="27"/>
      <c r="B30" s="35" t="s">
        <v>34</v>
      </c>
      <c r="C30" s="29"/>
      <c r="D30" s="29"/>
      <c r="E30" s="30"/>
      <c r="F30" s="30">
        <v>15300</v>
      </c>
      <c r="G30" s="40" t="s">
        <v>18</v>
      </c>
      <c r="H30" s="39">
        <v>15300</v>
      </c>
      <c r="I30" s="40" t="s">
        <v>18</v>
      </c>
      <c r="J30" s="46" t="s">
        <v>18</v>
      </c>
      <c r="K30" s="46" t="s">
        <v>18</v>
      </c>
      <c r="L30" s="30">
        <f t="shared" si="0"/>
        <v>15300</v>
      </c>
    </row>
    <row r="31" spans="1:12" ht="12.75">
      <c r="A31" s="27">
        <v>98053</v>
      </c>
      <c r="B31" s="44" t="s">
        <v>35</v>
      </c>
      <c r="C31" s="29"/>
      <c r="D31" s="29"/>
      <c r="E31" s="30"/>
      <c r="F31" s="30">
        <v>277860</v>
      </c>
      <c r="G31" s="39">
        <f>185000+92863+35000-3</f>
        <v>312860</v>
      </c>
      <c r="H31" s="40" t="s">
        <v>18</v>
      </c>
      <c r="I31" s="40" t="s">
        <v>18</v>
      </c>
      <c r="J31" s="46" t="s">
        <v>18</v>
      </c>
      <c r="K31" s="47">
        <f>25137+3</f>
        <v>25140</v>
      </c>
      <c r="L31" s="30">
        <f t="shared" si="0"/>
        <v>338000</v>
      </c>
    </row>
    <row r="32" spans="1:12" ht="12.75">
      <c r="A32" s="27">
        <v>98052</v>
      </c>
      <c r="B32" s="44" t="s">
        <v>36</v>
      </c>
      <c r="C32" s="29"/>
      <c r="D32" s="29"/>
      <c r="E32" s="30"/>
      <c r="F32" s="30">
        <v>76840</v>
      </c>
      <c r="G32" s="39">
        <f>42000+34837+3</f>
        <v>76840</v>
      </c>
      <c r="H32" s="40" t="s">
        <v>18</v>
      </c>
      <c r="I32" s="40" t="s">
        <v>18</v>
      </c>
      <c r="J32" s="46" t="s">
        <v>18</v>
      </c>
      <c r="K32" s="47">
        <f>16163-3</f>
        <v>16160</v>
      </c>
      <c r="L32" s="30">
        <f t="shared" si="0"/>
        <v>93000</v>
      </c>
    </row>
    <row r="33" spans="1:12" ht="12.75">
      <c r="A33" s="27">
        <v>98056</v>
      </c>
      <c r="B33" s="45" t="s">
        <v>37</v>
      </c>
      <c r="C33" s="29"/>
      <c r="D33" s="29"/>
      <c r="E33" s="30"/>
      <c r="F33" s="30">
        <v>46000</v>
      </c>
      <c r="G33" s="40" t="s">
        <v>18</v>
      </c>
      <c r="H33" s="39">
        <v>66000</v>
      </c>
      <c r="I33" s="40" t="s">
        <v>18</v>
      </c>
      <c r="J33" s="46" t="s">
        <v>18</v>
      </c>
      <c r="K33" s="46" t="s">
        <v>18</v>
      </c>
      <c r="L33" s="30">
        <f t="shared" si="0"/>
        <v>66000</v>
      </c>
    </row>
    <row r="34" spans="1:12" ht="12.75">
      <c r="A34" s="27">
        <v>98088</v>
      </c>
      <c r="B34" s="45" t="s">
        <v>38</v>
      </c>
      <c r="C34" s="29"/>
      <c r="D34" s="29"/>
      <c r="E34" s="30"/>
      <c r="F34" s="30">
        <v>10000</v>
      </c>
      <c r="G34" s="39">
        <v>10000</v>
      </c>
      <c r="H34" s="40" t="s">
        <v>18</v>
      </c>
      <c r="I34" s="40" t="s">
        <v>18</v>
      </c>
      <c r="J34" s="46" t="s">
        <v>18</v>
      </c>
      <c r="K34" s="46" t="s">
        <v>18</v>
      </c>
      <c r="L34" s="30">
        <f t="shared" si="0"/>
        <v>10000</v>
      </c>
    </row>
    <row r="35" spans="1:12" ht="12.75">
      <c r="A35" s="27">
        <v>98058</v>
      </c>
      <c r="B35" s="38" t="s">
        <v>39</v>
      </c>
      <c r="C35" s="29"/>
      <c r="D35" s="29"/>
      <c r="E35" s="30"/>
      <c r="F35" s="30">
        <v>12600</v>
      </c>
      <c r="G35" s="39">
        <v>12600</v>
      </c>
      <c r="H35" s="40" t="s">
        <v>18</v>
      </c>
      <c r="I35" s="40" t="s">
        <v>18</v>
      </c>
      <c r="J35" s="46" t="s">
        <v>18</v>
      </c>
      <c r="K35" s="46" t="s">
        <v>18</v>
      </c>
      <c r="L35" s="30">
        <f t="shared" si="0"/>
        <v>12600</v>
      </c>
    </row>
    <row r="36" spans="1:12" ht="12.75" customHeight="1">
      <c r="A36" s="27">
        <v>98057</v>
      </c>
      <c r="B36" s="44" t="s">
        <v>40</v>
      </c>
      <c r="C36" s="29"/>
      <c r="D36" s="29"/>
      <c r="E36" s="30"/>
      <c r="F36" s="30">
        <v>43800</v>
      </c>
      <c r="G36" s="39">
        <f>20000+23800</f>
        <v>43800</v>
      </c>
      <c r="H36" s="39">
        <v>20000</v>
      </c>
      <c r="I36" s="40" t="s">
        <v>18</v>
      </c>
      <c r="J36" s="46" t="s">
        <v>18</v>
      </c>
      <c r="K36" s="46" t="s">
        <v>18</v>
      </c>
      <c r="L36" s="30">
        <f t="shared" si="0"/>
        <v>63800</v>
      </c>
    </row>
    <row r="37" spans="1:12" ht="12.75" customHeight="1">
      <c r="A37" s="27"/>
      <c r="B37" s="44" t="s">
        <v>41</v>
      </c>
      <c r="C37" s="29"/>
      <c r="D37" s="29"/>
      <c r="E37" s="30"/>
      <c r="F37" s="40" t="s">
        <v>18</v>
      </c>
      <c r="G37" s="40" t="s">
        <v>18</v>
      </c>
      <c r="H37" s="39">
        <v>69770</v>
      </c>
      <c r="I37" s="40" t="s">
        <v>18</v>
      </c>
      <c r="J37" s="40" t="s">
        <v>18</v>
      </c>
      <c r="K37" s="40" t="s">
        <v>18</v>
      </c>
      <c r="L37" s="30">
        <f t="shared" si="0"/>
        <v>69770</v>
      </c>
    </row>
    <row r="38" spans="1:12" ht="6" customHeight="1">
      <c r="A38" s="27"/>
      <c r="B38" s="44"/>
      <c r="C38" s="29"/>
      <c r="D38" s="29"/>
      <c r="E38" s="30"/>
      <c r="F38" s="30"/>
      <c r="G38" s="39"/>
      <c r="H38" s="39"/>
      <c r="I38" s="40"/>
      <c r="J38" s="46"/>
      <c r="K38" s="46"/>
      <c r="L38" s="30"/>
    </row>
    <row r="39" spans="1:12" ht="12.75">
      <c r="A39" s="27">
        <v>98040</v>
      </c>
      <c r="B39" s="44" t="s">
        <v>42</v>
      </c>
      <c r="C39" s="29"/>
      <c r="D39" s="29"/>
      <c r="E39" s="30"/>
      <c r="F39" s="30">
        <v>191090</v>
      </c>
      <c r="G39" s="39">
        <f>20000+171090</f>
        <v>191090</v>
      </c>
      <c r="H39" s="40" t="s">
        <v>18</v>
      </c>
      <c r="I39" s="40" t="s">
        <v>18</v>
      </c>
      <c r="J39" s="46" t="s">
        <v>18</v>
      </c>
      <c r="K39" s="47">
        <v>1410</v>
      </c>
      <c r="L39" s="30">
        <f aca="true" t="shared" si="1" ref="L39:L45">SUM(G39:K39)</f>
        <v>192500</v>
      </c>
    </row>
    <row r="40" spans="1:12" ht="12.75">
      <c r="A40" s="27">
        <v>98043</v>
      </c>
      <c r="B40" s="35" t="s">
        <v>43</v>
      </c>
      <c r="C40" s="29"/>
      <c r="D40" s="29"/>
      <c r="E40" s="30"/>
      <c r="F40" s="30">
        <v>2000000</v>
      </c>
      <c r="G40" s="40" t="s">
        <v>18</v>
      </c>
      <c r="H40" s="39">
        <f>2000000-300000</f>
        <v>1700000</v>
      </c>
      <c r="I40" s="40" t="s">
        <v>18</v>
      </c>
      <c r="J40" s="46" t="s">
        <v>18</v>
      </c>
      <c r="K40" s="46" t="s">
        <v>18</v>
      </c>
      <c r="L40" s="30">
        <f t="shared" si="1"/>
        <v>1700000</v>
      </c>
    </row>
    <row r="41" spans="1:18" ht="12.75">
      <c r="A41" s="27">
        <v>98042</v>
      </c>
      <c r="B41" s="35" t="s">
        <v>44</v>
      </c>
      <c r="C41" s="29"/>
      <c r="D41" s="29"/>
      <c r="E41" s="30"/>
      <c r="F41" s="30">
        <v>80430</v>
      </c>
      <c r="G41" s="39">
        <f>42250+38180</f>
        <v>80430</v>
      </c>
      <c r="H41" s="40" t="s">
        <v>18</v>
      </c>
      <c r="I41" s="40" t="s">
        <v>18</v>
      </c>
      <c r="J41" s="46" t="s">
        <v>18</v>
      </c>
      <c r="K41" s="47">
        <v>69570</v>
      </c>
      <c r="L41" s="30">
        <f t="shared" si="1"/>
        <v>150000</v>
      </c>
      <c r="R41" s="84" t="s">
        <v>109</v>
      </c>
    </row>
    <row r="42" spans="1:18" ht="12.75">
      <c r="A42" s="27"/>
      <c r="B42" s="45" t="s">
        <v>45</v>
      </c>
      <c r="C42" s="29"/>
      <c r="D42" s="29"/>
      <c r="E42" s="30"/>
      <c r="F42" s="30">
        <v>20000</v>
      </c>
      <c r="G42" s="39">
        <v>20000</v>
      </c>
      <c r="H42" s="39">
        <v>100000</v>
      </c>
      <c r="I42" s="39">
        <v>100000</v>
      </c>
      <c r="J42" s="47">
        <v>100000</v>
      </c>
      <c r="K42" s="46" t="s">
        <v>18</v>
      </c>
      <c r="L42" s="30">
        <f t="shared" si="1"/>
        <v>320000</v>
      </c>
      <c r="R42" s="85"/>
    </row>
    <row r="43" spans="1:18" ht="12.75">
      <c r="A43" s="27"/>
      <c r="B43" s="45" t="s">
        <v>46</v>
      </c>
      <c r="C43" s="29"/>
      <c r="D43" s="29"/>
      <c r="E43" s="30"/>
      <c r="F43" s="34" t="s">
        <v>18</v>
      </c>
      <c r="G43" s="40" t="s">
        <v>18</v>
      </c>
      <c r="H43" s="39">
        <v>195000</v>
      </c>
      <c r="I43" s="40" t="s">
        <v>18</v>
      </c>
      <c r="J43" s="46" t="s">
        <v>18</v>
      </c>
      <c r="K43" s="46" t="s">
        <v>18</v>
      </c>
      <c r="L43" s="30">
        <f t="shared" si="1"/>
        <v>195000</v>
      </c>
      <c r="R43" s="85"/>
    </row>
    <row r="44" spans="1:18" ht="12.75">
      <c r="A44" s="27"/>
      <c r="B44" s="45" t="s">
        <v>47</v>
      </c>
      <c r="C44" s="29"/>
      <c r="D44" s="29"/>
      <c r="E44" s="30"/>
      <c r="F44" s="30">
        <v>90000</v>
      </c>
      <c r="G44" s="40" t="s">
        <v>18</v>
      </c>
      <c r="H44" s="39">
        <v>90000</v>
      </c>
      <c r="I44" s="40" t="s">
        <v>18</v>
      </c>
      <c r="J44" s="46" t="s">
        <v>18</v>
      </c>
      <c r="K44" s="46" t="s">
        <v>18</v>
      </c>
      <c r="L44" s="30">
        <f t="shared" si="1"/>
        <v>90000</v>
      </c>
      <c r="R44" s="85"/>
    </row>
    <row r="45" spans="1:18" ht="12.75" customHeight="1">
      <c r="A45" s="27"/>
      <c r="B45" s="45" t="s">
        <v>48</v>
      </c>
      <c r="C45" s="29"/>
      <c r="D45" s="29"/>
      <c r="E45" s="30"/>
      <c r="F45" s="30">
        <v>16000</v>
      </c>
      <c r="G45" s="40" t="s">
        <v>18</v>
      </c>
      <c r="H45" s="39">
        <v>16000</v>
      </c>
      <c r="I45" s="40" t="s">
        <v>18</v>
      </c>
      <c r="J45" s="46" t="s">
        <v>18</v>
      </c>
      <c r="K45" s="46" t="s">
        <v>18</v>
      </c>
      <c r="L45" s="30">
        <f t="shared" si="1"/>
        <v>16000</v>
      </c>
      <c r="R45" s="85"/>
    </row>
    <row r="46" spans="1:18" ht="6" customHeight="1">
      <c r="A46" s="27"/>
      <c r="B46" s="45"/>
      <c r="C46" s="29"/>
      <c r="D46" s="29"/>
      <c r="E46" s="30"/>
      <c r="F46" s="30"/>
      <c r="G46" s="40"/>
      <c r="H46" s="39"/>
      <c r="I46" s="40"/>
      <c r="J46" s="46"/>
      <c r="K46" s="46"/>
      <c r="L46" s="30"/>
      <c r="R46" s="85"/>
    </row>
    <row r="47" spans="1:18" ht="12.75">
      <c r="A47" s="37">
        <v>98105</v>
      </c>
      <c r="B47" s="44" t="s">
        <v>49</v>
      </c>
      <c r="C47" s="29"/>
      <c r="D47" s="29"/>
      <c r="E47" s="30"/>
      <c r="F47" s="30">
        <v>170650</v>
      </c>
      <c r="G47" s="39">
        <f>250000+20650-100000</f>
        <v>170650</v>
      </c>
      <c r="H47" s="40" t="s">
        <v>18</v>
      </c>
      <c r="I47" s="40" t="s">
        <v>18</v>
      </c>
      <c r="J47" s="46" t="s">
        <v>18</v>
      </c>
      <c r="K47" s="47">
        <v>29350</v>
      </c>
      <c r="L47" s="30">
        <f>SUM(G47:K47)</f>
        <v>200000</v>
      </c>
      <c r="R47" s="85"/>
    </row>
    <row r="48" spans="1:18" ht="12.75">
      <c r="A48" s="27"/>
      <c r="B48" s="44" t="s">
        <v>50</v>
      </c>
      <c r="C48" s="29"/>
      <c r="D48" s="29"/>
      <c r="E48" s="30"/>
      <c r="F48" s="30">
        <v>50000</v>
      </c>
      <c r="G48" s="39">
        <f>350000-300000</f>
        <v>50000</v>
      </c>
      <c r="H48" s="40" t="s">
        <v>18</v>
      </c>
      <c r="I48" s="40" t="s">
        <v>18</v>
      </c>
      <c r="J48" s="46" t="s">
        <v>18</v>
      </c>
      <c r="K48" s="46" t="s">
        <v>18</v>
      </c>
      <c r="L48" s="30">
        <f>SUM(G48:K48)</f>
        <v>50000</v>
      </c>
      <c r="R48" s="85"/>
    </row>
    <row r="49" spans="1:18" ht="12.75">
      <c r="A49" s="27">
        <v>98085</v>
      </c>
      <c r="B49" s="48" t="s">
        <v>51</v>
      </c>
      <c r="C49" s="49"/>
      <c r="D49" s="49"/>
      <c r="E49" s="50"/>
      <c r="F49" s="50">
        <v>18770</v>
      </c>
      <c r="G49" s="51">
        <v>18770</v>
      </c>
      <c r="H49" s="52" t="s">
        <v>18</v>
      </c>
      <c r="I49" s="52" t="s">
        <v>18</v>
      </c>
      <c r="J49" s="53" t="s">
        <v>18</v>
      </c>
      <c r="K49" s="54">
        <f>274380+262560+131560+8300</f>
        <v>676800</v>
      </c>
      <c r="L49" s="50">
        <f>SUM(G49:K49)</f>
        <v>695570</v>
      </c>
      <c r="R49" s="85"/>
    </row>
    <row r="50" spans="1:12" ht="12.75">
      <c r="A50" s="27"/>
      <c r="B50" s="5"/>
      <c r="C50" s="6"/>
      <c r="D50" s="6"/>
      <c r="E50" s="7"/>
      <c r="F50" s="86" t="s">
        <v>0</v>
      </c>
      <c r="G50" s="87"/>
      <c r="H50" s="2" t="s">
        <v>1</v>
      </c>
      <c r="I50" s="2" t="s">
        <v>2</v>
      </c>
      <c r="J50" s="8" t="s">
        <v>3</v>
      </c>
      <c r="K50" s="3" t="s">
        <v>4</v>
      </c>
      <c r="L50" s="3"/>
    </row>
    <row r="51" spans="1:12" ht="12.75">
      <c r="A51" s="27"/>
      <c r="B51" s="90" t="s">
        <v>6</v>
      </c>
      <c r="C51" s="91"/>
      <c r="D51" s="91"/>
      <c r="E51" s="92"/>
      <c r="F51" s="12" t="s">
        <v>7</v>
      </c>
      <c r="G51" s="13" t="s">
        <v>8</v>
      </c>
      <c r="H51" s="13" t="s">
        <v>9</v>
      </c>
      <c r="I51" s="13" t="s">
        <v>9</v>
      </c>
      <c r="J51" s="14" t="s">
        <v>10</v>
      </c>
      <c r="K51" s="15" t="s">
        <v>11</v>
      </c>
      <c r="L51" s="13" t="s">
        <v>12</v>
      </c>
    </row>
    <row r="52" spans="1:12" ht="12.75">
      <c r="A52" s="27"/>
      <c r="B52" s="10"/>
      <c r="C52" s="1"/>
      <c r="D52" s="1"/>
      <c r="E52" s="11"/>
      <c r="F52" s="16"/>
      <c r="G52" s="13"/>
      <c r="H52" s="13"/>
      <c r="I52" s="13"/>
      <c r="J52" s="14"/>
      <c r="K52" s="17"/>
      <c r="L52" s="13"/>
    </row>
    <row r="53" spans="1:12" ht="12.75">
      <c r="A53" s="27"/>
      <c r="B53" s="19"/>
      <c r="C53" s="20"/>
      <c r="D53" s="20"/>
      <c r="E53" s="21"/>
      <c r="F53" s="22" t="s">
        <v>14</v>
      </c>
      <c r="G53" s="22" t="s">
        <v>14</v>
      </c>
      <c r="H53" s="22" t="s">
        <v>14</v>
      </c>
      <c r="I53" s="22" t="s">
        <v>14</v>
      </c>
      <c r="J53" s="22" t="s">
        <v>14</v>
      </c>
      <c r="K53" s="22" t="s">
        <v>14</v>
      </c>
      <c r="L53" s="22" t="s">
        <v>14</v>
      </c>
    </row>
    <row r="54" spans="1:12" ht="12.75">
      <c r="A54" s="27"/>
      <c r="B54" s="44"/>
      <c r="C54" s="29"/>
      <c r="D54" s="29"/>
      <c r="E54" s="30"/>
      <c r="F54" s="30"/>
      <c r="G54" s="39"/>
      <c r="H54" s="40"/>
      <c r="I54" s="40"/>
      <c r="J54" s="46"/>
      <c r="K54" s="47"/>
      <c r="L54" s="30"/>
    </row>
    <row r="55" spans="1:12" ht="15.75">
      <c r="A55" s="27"/>
      <c r="B55" s="28" t="s">
        <v>52</v>
      </c>
      <c r="C55" s="29"/>
      <c r="D55" s="29"/>
      <c r="E55" s="30"/>
      <c r="F55" s="30"/>
      <c r="G55" s="39"/>
      <c r="H55" s="40"/>
      <c r="I55" s="40"/>
      <c r="J55" s="46"/>
      <c r="K55" s="47"/>
      <c r="L55" s="30"/>
    </row>
    <row r="56" spans="1:12" ht="6" customHeight="1">
      <c r="A56" s="27"/>
      <c r="B56" s="28"/>
      <c r="C56" s="29"/>
      <c r="D56" s="29"/>
      <c r="E56" s="30"/>
      <c r="F56" s="30"/>
      <c r="G56" s="39"/>
      <c r="H56" s="40"/>
      <c r="I56" s="40"/>
      <c r="J56" s="46"/>
      <c r="K56" s="47"/>
      <c r="L56" s="30"/>
    </row>
    <row r="57" spans="1:12" ht="12.75">
      <c r="A57" s="27"/>
      <c r="B57" s="23" t="s">
        <v>53</v>
      </c>
      <c r="C57" s="29"/>
      <c r="D57" s="29"/>
      <c r="E57" s="30"/>
      <c r="F57" s="30"/>
      <c r="G57" s="39"/>
      <c r="H57" s="40"/>
      <c r="I57" s="40"/>
      <c r="J57" s="46"/>
      <c r="K57" s="47"/>
      <c r="L57" s="30"/>
    </row>
    <row r="58" spans="1:12" ht="6" customHeight="1">
      <c r="A58" s="27"/>
      <c r="B58" s="23"/>
      <c r="C58" s="29"/>
      <c r="D58" s="29"/>
      <c r="E58" s="30"/>
      <c r="F58" s="30"/>
      <c r="G58" s="39"/>
      <c r="H58" s="40"/>
      <c r="I58" s="40"/>
      <c r="J58" s="46"/>
      <c r="K58" s="47"/>
      <c r="L58" s="30"/>
    </row>
    <row r="59" spans="1:12" ht="12.75">
      <c r="A59" s="27">
        <v>98526</v>
      </c>
      <c r="B59" s="44" t="s">
        <v>54</v>
      </c>
      <c r="C59" s="29"/>
      <c r="D59" s="29"/>
      <c r="E59" s="30"/>
      <c r="F59" s="30">
        <v>198500</v>
      </c>
      <c r="G59" s="39">
        <f>38500+160000</f>
        <v>198500</v>
      </c>
      <c r="H59" s="40" t="s">
        <v>18</v>
      </c>
      <c r="I59" s="40" t="s">
        <v>18</v>
      </c>
      <c r="J59" s="46" t="s">
        <v>18</v>
      </c>
      <c r="K59" s="46" t="s">
        <v>18</v>
      </c>
      <c r="L59" s="30">
        <f>SUM(G59:K59)</f>
        <v>198500</v>
      </c>
    </row>
    <row r="60" spans="1:12" ht="12.75">
      <c r="A60" s="27">
        <v>98525</v>
      </c>
      <c r="B60" s="44" t="s">
        <v>55</v>
      </c>
      <c r="C60" s="29"/>
      <c r="D60" s="29"/>
      <c r="E60" s="30"/>
      <c r="F60" s="30">
        <v>1235150</v>
      </c>
      <c r="G60" s="39">
        <f>1150000-20000+5150+100000+124000</f>
        <v>1359150</v>
      </c>
      <c r="H60" s="40" t="s">
        <v>18</v>
      </c>
      <c r="I60" s="40" t="s">
        <v>18</v>
      </c>
      <c r="J60" s="46" t="s">
        <v>18</v>
      </c>
      <c r="K60" s="47">
        <v>14850</v>
      </c>
      <c r="L60" s="30">
        <f>SUM(G60:K60)</f>
        <v>1374000</v>
      </c>
    </row>
    <row r="61" spans="1:12" ht="12.75" customHeight="1">
      <c r="A61" s="27"/>
      <c r="B61" s="44" t="s">
        <v>56</v>
      </c>
      <c r="C61" s="29"/>
      <c r="D61" s="29"/>
      <c r="E61" s="30"/>
      <c r="F61" s="30">
        <v>125000</v>
      </c>
      <c r="G61" s="40" t="s">
        <v>18</v>
      </c>
      <c r="H61" s="39">
        <v>125000</v>
      </c>
      <c r="I61" s="40" t="s">
        <v>18</v>
      </c>
      <c r="J61" s="46" t="s">
        <v>18</v>
      </c>
      <c r="K61" s="46" t="s">
        <v>18</v>
      </c>
      <c r="L61" s="30">
        <f>SUM(G61:K61)</f>
        <v>125000</v>
      </c>
    </row>
    <row r="62" spans="1:12" ht="12.75">
      <c r="A62" s="27">
        <v>98528</v>
      </c>
      <c r="B62" s="44" t="s">
        <v>57</v>
      </c>
      <c r="C62" s="29"/>
      <c r="D62" s="29"/>
      <c r="E62" s="30"/>
      <c r="F62" s="30">
        <v>30000</v>
      </c>
      <c r="G62" s="39">
        <f>30000+23000</f>
        <v>53000</v>
      </c>
      <c r="H62" s="40" t="s">
        <v>18</v>
      </c>
      <c r="I62" s="41" t="s">
        <v>18</v>
      </c>
      <c r="J62" s="40" t="s">
        <v>18</v>
      </c>
      <c r="K62" s="46" t="s">
        <v>18</v>
      </c>
      <c r="L62" s="30">
        <f>SUM(G62:K62)</f>
        <v>53000</v>
      </c>
    </row>
    <row r="63" spans="1:12" ht="12.75" customHeight="1">
      <c r="A63" s="27">
        <v>98527</v>
      </c>
      <c r="B63" s="44" t="s">
        <v>58</v>
      </c>
      <c r="C63" s="29"/>
      <c r="D63" s="29"/>
      <c r="E63" s="30"/>
      <c r="F63" s="30">
        <v>50000</v>
      </c>
      <c r="G63" s="39">
        <f>50000+27000</f>
        <v>77000</v>
      </c>
      <c r="H63" s="40" t="s">
        <v>18</v>
      </c>
      <c r="I63" s="41" t="s">
        <v>18</v>
      </c>
      <c r="J63" s="40" t="s">
        <v>18</v>
      </c>
      <c r="K63" s="46" t="s">
        <v>18</v>
      </c>
      <c r="L63" s="30">
        <f>SUM(G63:K63)</f>
        <v>77000</v>
      </c>
    </row>
    <row r="64" spans="1:12" ht="6" customHeight="1">
      <c r="A64" s="27"/>
      <c r="B64" s="44"/>
      <c r="C64" s="29"/>
      <c r="D64" s="29"/>
      <c r="E64" s="30"/>
      <c r="F64" s="30"/>
      <c r="G64" s="39"/>
      <c r="H64" s="40"/>
      <c r="I64" s="41"/>
      <c r="J64" s="40"/>
      <c r="K64" s="46"/>
      <c r="L64" s="30"/>
    </row>
    <row r="65" spans="1:12" ht="12.75">
      <c r="A65" s="27"/>
      <c r="B65" s="44" t="s">
        <v>59</v>
      </c>
      <c r="C65" s="29"/>
      <c r="D65" s="29"/>
      <c r="E65" s="30"/>
      <c r="F65" s="30">
        <v>130000</v>
      </c>
      <c r="G65" s="39">
        <v>30000</v>
      </c>
      <c r="H65" s="39">
        <v>100000</v>
      </c>
      <c r="I65" s="41" t="s">
        <v>18</v>
      </c>
      <c r="J65" s="40" t="s">
        <v>18</v>
      </c>
      <c r="K65" s="46" t="s">
        <v>18</v>
      </c>
      <c r="L65" s="30">
        <f>SUM(G65:K65)</f>
        <v>130000</v>
      </c>
    </row>
    <row r="66" spans="1:12" ht="6" customHeight="1">
      <c r="A66" s="27"/>
      <c r="B66" s="44"/>
      <c r="C66" s="29"/>
      <c r="D66" s="29"/>
      <c r="E66" s="30"/>
      <c r="F66" s="30"/>
      <c r="G66" s="39"/>
      <c r="H66" s="39"/>
      <c r="I66" s="41"/>
      <c r="J66" s="40"/>
      <c r="K66" s="46"/>
      <c r="L66" s="30"/>
    </row>
    <row r="67" spans="1:12" ht="12.75">
      <c r="A67" s="27">
        <v>98087</v>
      </c>
      <c r="B67" s="44" t="s">
        <v>108</v>
      </c>
      <c r="C67" s="29"/>
      <c r="D67" s="29"/>
      <c r="E67" s="30"/>
      <c r="F67" s="39">
        <f>53060+25000</f>
        <v>78060</v>
      </c>
      <c r="G67" s="39">
        <f>53060+25000</f>
        <v>78060</v>
      </c>
      <c r="H67" s="40" t="s">
        <v>18</v>
      </c>
      <c r="I67" s="41" t="s">
        <v>18</v>
      </c>
      <c r="J67" s="40" t="s">
        <v>18</v>
      </c>
      <c r="K67" s="47">
        <v>48180</v>
      </c>
      <c r="L67" s="30">
        <f>SUM(G67:K67)</f>
        <v>126240</v>
      </c>
    </row>
    <row r="68" spans="1:12" ht="12.75">
      <c r="A68" s="27"/>
      <c r="B68" s="44"/>
      <c r="C68" s="29"/>
      <c r="D68" s="29"/>
      <c r="E68" s="30"/>
      <c r="F68" s="30"/>
      <c r="G68" s="39"/>
      <c r="H68" s="40"/>
      <c r="I68" s="43"/>
      <c r="J68" s="40"/>
      <c r="K68" s="46"/>
      <c r="L68" s="30"/>
    </row>
    <row r="69" spans="1:12" ht="12.75">
      <c r="A69" s="27"/>
      <c r="B69" s="23" t="s">
        <v>60</v>
      </c>
      <c r="C69" s="29"/>
      <c r="D69" s="29"/>
      <c r="E69" s="30"/>
      <c r="F69" s="30"/>
      <c r="G69" s="40"/>
      <c r="H69" s="40"/>
      <c r="I69" s="55"/>
      <c r="J69" s="56"/>
      <c r="K69" s="46"/>
      <c r="L69" s="30"/>
    </row>
    <row r="70" spans="1:12" ht="6" customHeight="1">
      <c r="A70" s="27"/>
      <c r="B70" s="23"/>
      <c r="C70" s="29"/>
      <c r="D70" s="29"/>
      <c r="E70" s="30"/>
      <c r="F70" s="30"/>
      <c r="G70" s="40"/>
      <c r="H70" s="40"/>
      <c r="I70" s="55"/>
      <c r="J70" s="56"/>
      <c r="K70" s="46"/>
      <c r="L70" s="30"/>
    </row>
    <row r="71" spans="1:12" ht="12.75">
      <c r="A71" s="27"/>
      <c r="B71" s="44" t="s">
        <v>61</v>
      </c>
      <c r="C71" s="29"/>
      <c r="D71" s="29"/>
      <c r="E71" s="30"/>
      <c r="F71" s="30"/>
      <c r="G71" s="40"/>
      <c r="H71" s="40"/>
      <c r="I71" s="55"/>
      <c r="J71" s="56"/>
      <c r="K71" s="46"/>
      <c r="L71" s="30"/>
    </row>
    <row r="72" spans="1:12" ht="12.75">
      <c r="A72" s="27">
        <v>98090</v>
      </c>
      <c r="B72" s="44" t="s">
        <v>62</v>
      </c>
      <c r="C72" s="29"/>
      <c r="D72" s="29"/>
      <c r="E72" s="30"/>
      <c r="F72" s="30">
        <v>800000</v>
      </c>
      <c r="G72" s="39">
        <f>800000</f>
        <v>800000</v>
      </c>
      <c r="H72" s="39">
        <v>800000</v>
      </c>
      <c r="I72" s="42">
        <v>800000</v>
      </c>
      <c r="J72" s="40" t="s">
        <v>18</v>
      </c>
      <c r="K72" s="47">
        <f>710490+657830</f>
        <v>1368320</v>
      </c>
      <c r="L72" s="30">
        <f>SUM(G72:K72)</f>
        <v>3768320</v>
      </c>
    </row>
    <row r="73" spans="1:12" ht="12.75" customHeight="1">
      <c r="A73" s="27">
        <v>98550</v>
      </c>
      <c r="B73" s="44" t="s">
        <v>63</v>
      </c>
      <c r="C73" s="29"/>
      <c r="D73" s="29"/>
      <c r="E73" s="30"/>
      <c r="F73" s="30">
        <f>1500000+1272280+76140</f>
        <v>2848420</v>
      </c>
      <c r="G73" s="39">
        <f>1040000+232280+1500000+76140-77820+100000</f>
        <v>2870600</v>
      </c>
      <c r="H73" s="39">
        <f>2000000-600000</f>
        <v>1400000</v>
      </c>
      <c r="I73" s="42">
        <f>2000000-600000</f>
        <v>1400000</v>
      </c>
      <c r="J73" s="39">
        <v>1700000</v>
      </c>
      <c r="K73" s="47">
        <f>767720+123860</f>
        <v>891580</v>
      </c>
      <c r="L73" s="30">
        <f>SUM(G73:K73)</f>
        <v>8262180</v>
      </c>
    </row>
    <row r="74" spans="1:12" ht="12.75">
      <c r="A74" s="27">
        <v>98100</v>
      </c>
      <c r="B74" s="44" t="s">
        <v>64</v>
      </c>
      <c r="C74" s="29"/>
      <c r="D74" s="29"/>
      <c r="E74" s="30"/>
      <c r="F74" s="30">
        <v>22180</v>
      </c>
      <c r="G74" s="39">
        <f>24000-1820+77820</f>
        <v>100000</v>
      </c>
      <c r="H74" s="40" t="s">
        <v>18</v>
      </c>
      <c r="I74" s="43" t="s">
        <v>18</v>
      </c>
      <c r="J74" s="40" t="s">
        <v>18</v>
      </c>
      <c r="K74" s="47">
        <f>175300+122300</f>
        <v>297600</v>
      </c>
      <c r="L74" s="30">
        <f>SUM(G74:K74)</f>
        <v>397600</v>
      </c>
    </row>
    <row r="75" spans="1:12" ht="12.75">
      <c r="A75" s="27"/>
      <c r="B75" s="45" t="s">
        <v>65</v>
      </c>
      <c r="C75" s="29"/>
      <c r="D75" s="29"/>
      <c r="E75" s="30"/>
      <c r="F75" s="30">
        <v>70000</v>
      </c>
      <c r="G75" s="39">
        <v>70000</v>
      </c>
      <c r="H75" s="39">
        <v>70000</v>
      </c>
      <c r="I75" s="42">
        <v>70000</v>
      </c>
      <c r="J75" s="39">
        <f>360000-70000</f>
        <v>290000</v>
      </c>
      <c r="K75" s="46" t="s">
        <v>18</v>
      </c>
      <c r="L75" s="30">
        <f>SUM(G75:K75)</f>
        <v>500000</v>
      </c>
    </row>
    <row r="76" spans="1:12" ht="6" customHeight="1">
      <c r="A76" s="27"/>
      <c r="B76" s="45" t="s">
        <v>66</v>
      </c>
      <c r="C76" s="29"/>
      <c r="D76" s="29"/>
      <c r="E76" s="30"/>
      <c r="F76" s="30"/>
      <c r="G76" s="39"/>
      <c r="H76" s="39"/>
      <c r="I76" s="42"/>
      <c r="J76" s="40"/>
      <c r="K76" s="46"/>
      <c r="L76" s="30"/>
    </row>
    <row r="77" spans="1:12" ht="12.75">
      <c r="A77" s="27"/>
      <c r="B77" s="44" t="s">
        <v>67</v>
      </c>
      <c r="C77" s="29"/>
      <c r="D77" s="29"/>
      <c r="E77" s="30"/>
      <c r="F77" s="30">
        <v>10000</v>
      </c>
      <c r="G77" s="39">
        <v>10000</v>
      </c>
      <c r="H77" s="39">
        <v>30000</v>
      </c>
      <c r="I77" s="43" t="s">
        <v>18</v>
      </c>
      <c r="J77" s="40" t="s">
        <v>18</v>
      </c>
      <c r="K77" s="46" t="s">
        <v>18</v>
      </c>
      <c r="L77" s="30">
        <f>SUM(G77:K77)</f>
        <v>40000</v>
      </c>
    </row>
    <row r="78" spans="1:12" ht="12.75">
      <c r="A78" s="27"/>
      <c r="B78" s="45" t="s">
        <v>68</v>
      </c>
      <c r="C78" s="29"/>
      <c r="D78" s="29"/>
      <c r="E78" s="30"/>
      <c r="F78" s="40" t="s">
        <v>18</v>
      </c>
      <c r="G78" s="40" t="s">
        <v>18</v>
      </c>
      <c r="H78" s="40" t="s">
        <v>18</v>
      </c>
      <c r="I78" s="42">
        <v>30000</v>
      </c>
      <c r="J78" s="40" t="s">
        <v>18</v>
      </c>
      <c r="K78" s="46" t="s">
        <v>18</v>
      </c>
      <c r="L78" s="30">
        <f>SUM(G78:K78)</f>
        <v>30000</v>
      </c>
    </row>
    <row r="79" spans="1:12" ht="12.75">
      <c r="A79" s="27">
        <v>98560</v>
      </c>
      <c r="B79" s="45" t="s">
        <v>69</v>
      </c>
      <c r="C79" s="29"/>
      <c r="D79" s="29"/>
      <c r="E79" s="30"/>
      <c r="F79" s="40" t="s">
        <v>18</v>
      </c>
      <c r="G79" s="40" t="s">
        <v>18</v>
      </c>
      <c r="H79" s="39">
        <v>50000</v>
      </c>
      <c r="I79" s="43" t="s">
        <v>18</v>
      </c>
      <c r="J79" s="40" t="s">
        <v>18</v>
      </c>
      <c r="K79" s="46" t="s">
        <v>18</v>
      </c>
      <c r="L79" s="30">
        <f>SUM(G79:K79)</f>
        <v>50000</v>
      </c>
    </row>
    <row r="80" spans="1:12" ht="12.75">
      <c r="A80" s="27"/>
      <c r="B80" s="45" t="s">
        <v>70</v>
      </c>
      <c r="C80" s="29"/>
      <c r="D80" s="29"/>
      <c r="E80" s="30"/>
      <c r="F80" s="46" t="s">
        <v>18</v>
      </c>
      <c r="G80" s="40" t="s">
        <v>18</v>
      </c>
      <c r="H80" s="39">
        <v>100000</v>
      </c>
      <c r="I80" s="43" t="s">
        <v>18</v>
      </c>
      <c r="J80" s="40" t="s">
        <v>18</v>
      </c>
      <c r="K80" s="46" t="s">
        <v>18</v>
      </c>
      <c r="L80" s="30">
        <f>SUM(G80:K80)</f>
        <v>100000</v>
      </c>
    </row>
    <row r="81" spans="1:12" ht="12.75">
      <c r="A81" s="27"/>
      <c r="B81" s="44"/>
      <c r="C81" s="29"/>
      <c r="D81" s="29"/>
      <c r="E81" s="30"/>
      <c r="F81" s="30"/>
      <c r="G81" s="39"/>
      <c r="H81" s="39"/>
      <c r="I81" s="57"/>
      <c r="J81" s="39"/>
      <c r="K81" s="46"/>
      <c r="L81" s="30"/>
    </row>
    <row r="82" spans="1:12" ht="12.75">
      <c r="A82" s="27"/>
      <c r="B82" s="23" t="s">
        <v>71</v>
      </c>
      <c r="C82" s="29"/>
      <c r="D82" s="29"/>
      <c r="E82" s="30"/>
      <c r="F82" s="30"/>
      <c r="G82" s="40"/>
      <c r="H82" s="40"/>
      <c r="I82" s="43"/>
      <c r="J82" s="40"/>
      <c r="K82" s="46"/>
      <c r="L82" s="30"/>
    </row>
    <row r="83" spans="1:12" ht="6" customHeight="1">
      <c r="A83" s="27"/>
      <c r="B83" s="23"/>
      <c r="C83" s="29"/>
      <c r="D83" s="29"/>
      <c r="E83" s="30"/>
      <c r="F83" s="30"/>
      <c r="G83" s="40"/>
      <c r="H83" s="40"/>
      <c r="I83" s="43"/>
      <c r="J83" s="40"/>
      <c r="K83" s="46"/>
      <c r="L83" s="30"/>
    </row>
    <row r="84" spans="1:12" ht="12.75">
      <c r="A84" s="27">
        <v>99250</v>
      </c>
      <c r="B84" s="44" t="s">
        <v>72</v>
      </c>
      <c r="C84" s="29"/>
      <c r="D84" s="29"/>
      <c r="E84" s="30"/>
      <c r="F84" s="30">
        <v>255720</v>
      </c>
      <c r="G84" s="39">
        <f>150000+150000-38500-5776-4</f>
        <v>255720</v>
      </c>
      <c r="H84" s="40" t="s">
        <v>18</v>
      </c>
      <c r="I84" s="43" t="s">
        <v>18</v>
      </c>
      <c r="J84" s="40" t="s">
        <v>18</v>
      </c>
      <c r="K84" s="47">
        <f>137170+152440+226166+4</f>
        <v>515780</v>
      </c>
      <c r="L84" s="30">
        <f>SUM(G84:K84)</f>
        <v>771500</v>
      </c>
    </row>
    <row r="85" spans="1:12" ht="12.75">
      <c r="A85" s="27"/>
      <c r="B85" s="45" t="s">
        <v>73</v>
      </c>
      <c r="C85" s="29"/>
      <c r="D85" s="29"/>
      <c r="E85" s="30"/>
      <c r="F85" s="30">
        <v>250000</v>
      </c>
      <c r="G85" s="39">
        <v>50000</v>
      </c>
      <c r="H85" s="39">
        <v>200000</v>
      </c>
      <c r="I85" s="43" t="s">
        <v>18</v>
      </c>
      <c r="J85" s="40" t="s">
        <v>18</v>
      </c>
      <c r="K85" s="46" t="s">
        <v>18</v>
      </c>
      <c r="L85" s="30">
        <f>SUM(G85:K85)</f>
        <v>250000</v>
      </c>
    </row>
    <row r="86" spans="1:12" ht="12.75">
      <c r="A86" s="27">
        <v>98522</v>
      </c>
      <c r="B86" s="45" t="s">
        <v>74</v>
      </c>
      <c r="C86" s="29"/>
      <c r="D86" s="29"/>
      <c r="E86" s="30"/>
      <c r="F86" s="30">
        <v>22500</v>
      </c>
      <c r="G86" s="39">
        <v>22500</v>
      </c>
      <c r="H86" s="39">
        <v>42900</v>
      </c>
      <c r="I86" s="42">
        <f>42900</f>
        <v>42900</v>
      </c>
      <c r="J86" s="39">
        <v>20400</v>
      </c>
      <c r="K86" s="46" t="s">
        <v>18</v>
      </c>
      <c r="L86" s="30">
        <f>SUM(G86:K86)</f>
        <v>128700</v>
      </c>
    </row>
    <row r="87" spans="1:12" ht="12.75">
      <c r="A87" s="27"/>
      <c r="B87" s="45" t="s">
        <v>75</v>
      </c>
      <c r="C87" s="29"/>
      <c r="D87" s="29"/>
      <c r="E87" s="30"/>
      <c r="F87" s="34" t="s">
        <v>18</v>
      </c>
      <c r="G87" s="40" t="s">
        <v>18</v>
      </c>
      <c r="H87" s="39">
        <v>50000</v>
      </c>
      <c r="I87" s="43" t="s">
        <v>18</v>
      </c>
      <c r="J87" s="40" t="s">
        <v>18</v>
      </c>
      <c r="K87" s="46" t="s">
        <v>18</v>
      </c>
      <c r="L87" s="30">
        <f>SUM(G87:K87)</f>
        <v>50000</v>
      </c>
    </row>
    <row r="88" spans="1:12" ht="12.75">
      <c r="A88" s="27"/>
      <c r="B88" s="44"/>
      <c r="C88" s="29"/>
      <c r="D88" s="29"/>
      <c r="E88" s="30"/>
      <c r="F88" s="30"/>
      <c r="G88" s="39"/>
      <c r="H88" s="40"/>
      <c r="I88" s="43"/>
      <c r="J88" s="40"/>
      <c r="K88" s="46"/>
      <c r="L88" s="30"/>
    </row>
    <row r="89" spans="1:12" ht="12.75" customHeight="1">
      <c r="A89" s="27"/>
      <c r="B89" s="23" t="s">
        <v>76</v>
      </c>
      <c r="C89" s="29"/>
      <c r="D89" s="29"/>
      <c r="E89" s="30"/>
      <c r="F89" s="30"/>
      <c r="G89" s="40"/>
      <c r="H89" s="40"/>
      <c r="I89" s="43"/>
      <c r="J89" s="40"/>
      <c r="K89" s="47"/>
      <c r="L89" s="30"/>
    </row>
    <row r="90" spans="1:12" ht="5.25" customHeight="1">
      <c r="A90" s="27"/>
      <c r="B90" s="23"/>
      <c r="C90" s="29"/>
      <c r="D90" s="29"/>
      <c r="E90" s="30"/>
      <c r="F90" s="30"/>
      <c r="G90" s="40"/>
      <c r="H90" s="40"/>
      <c r="I90" s="43"/>
      <c r="J90" s="40"/>
      <c r="K90" s="47"/>
      <c r="L90" s="30"/>
    </row>
    <row r="91" spans="1:12" ht="12.75">
      <c r="A91" s="27">
        <v>98115</v>
      </c>
      <c r="B91" s="44" t="s">
        <v>77</v>
      </c>
      <c r="C91" s="29"/>
      <c r="D91" s="29"/>
      <c r="E91" s="30"/>
      <c r="F91" s="30">
        <v>47300</v>
      </c>
      <c r="G91" s="39">
        <v>36920</v>
      </c>
      <c r="H91" s="40" t="s">
        <v>18</v>
      </c>
      <c r="I91" s="41" t="s">
        <v>18</v>
      </c>
      <c r="J91" s="40" t="s">
        <v>18</v>
      </c>
      <c r="K91" s="47">
        <v>82700</v>
      </c>
      <c r="L91" s="30">
        <f>SUM(G91:K91)</f>
        <v>119620</v>
      </c>
    </row>
    <row r="92" spans="1:12" ht="12.75">
      <c r="A92" s="27"/>
      <c r="B92" s="44" t="s">
        <v>78</v>
      </c>
      <c r="C92" s="29"/>
      <c r="D92" s="29"/>
      <c r="E92" s="30"/>
      <c r="F92" s="34" t="s">
        <v>18</v>
      </c>
      <c r="G92" s="40" t="s">
        <v>18</v>
      </c>
      <c r="H92" s="39">
        <v>170000</v>
      </c>
      <c r="I92" s="43" t="s">
        <v>18</v>
      </c>
      <c r="J92" s="40" t="s">
        <v>18</v>
      </c>
      <c r="K92" s="46" t="s">
        <v>18</v>
      </c>
      <c r="L92" s="30">
        <f>SUM(G92:K92)</f>
        <v>170000</v>
      </c>
    </row>
    <row r="93" spans="1:12" ht="6" customHeight="1">
      <c r="A93" s="27"/>
      <c r="B93" s="44"/>
      <c r="C93" s="29"/>
      <c r="D93" s="29"/>
      <c r="E93" s="30"/>
      <c r="F93" s="30"/>
      <c r="G93" s="39"/>
      <c r="H93" s="40"/>
      <c r="I93" s="43"/>
      <c r="J93" s="40"/>
      <c r="K93" s="47"/>
      <c r="L93" s="30"/>
    </row>
    <row r="94" spans="1:12" ht="12.75">
      <c r="A94" s="27"/>
      <c r="B94" s="45" t="s">
        <v>79</v>
      </c>
      <c r="C94" s="29"/>
      <c r="D94" s="29"/>
      <c r="E94" s="30"/>
      <c r="F94" s="30">
        <v>25000</v>
      </c>
      <c r="G94" s="40" t="s">
        <v>18</v>
      </c>
      <c r="H94" s="39">
        <v>25000</v>
      </c>
      <c r="I94" s="43" t="s">
        <v>18</v>
      </c>
      <c r="J94" s="40" t="s">
        <v>18</v>
      </c>
      <c r="K94" s="46" t="s">
        <v>18</v>
      </c>
      <c r="L94" s="30">
        <f>SUM(G94:K94)</f>
        <v>25000</v>
      </c>
    </row>
    <row r="95" spans="1:18" ht="12.75" customHeight="1">
      <c r="A95" s="27"/>
      <c r="B95" s="44"/>
      <c r="C95" s="29"/>
      <c r="D95" s="29"/>
      <c r="E95" s="30"/>
      <c r="F95" s="30"/>
      <c r="G95" s="39"/>
      <c r="H95" s="40"/>
      <c r="I95" s="43"/>
      <c r="J95" s="40"/>
      <c r="K95" s="46"/>
      <c r="L95" s="30"/>
      <c r="R95" s="84" t="s">
        <v>109</v>
      </c>
    </row>
    <row r="96" spans="1:18" ht="12.75" customHeight="1">
      <c r="A96" s="27"/>
      <c r="B96" s="23" t="s">
        <v>80</v>
      </c>
      <c r="C96" s="29"/>
      <c r="D96" s="29"/>
      <c r="E96" s="30"/>
      <c r="F96" s="30"/>
      <c r="G96" s="40"/>
      <c r="H96" s="40"/>
      <c r="I96" s="41"/>
      <c r="J96" s="40"/>
      <c r="K96" s="46"/>
      <c r="L96" s="30"/>
      <c r="M96" s="88"/>
      <c r="N96" s="77"/>
      <c r="O96" s="77"/>
      <c r="P96" s="77"/>
      <c r="R96" s="84"/>
    </row>
    <row r="97" spans="1:18" ht="6" customHeight="1">
      <c r="A97" s="27"/>
      <c r="B97" s="23"/>
      <c r="C97" s="29"/>
      <c r="D97" s="29"/>
      <c r="E97" s="30"/>
      <c r="F97" s="30"/>
      <c r="G97" s="40"/>
      <c r="H97" s="40"/>
      <c r="I97" s="41"/>
      <c r="J97" s="40"/>
      <c r="K97" s="46"/>
      <c r="L97" s="30"/>
      <c r="M97" s="89"/>
      <c r="N97" s="78"/>
      <c r="O97" s="78"/>
      <c r="P97" s="78"/>
      <c r="R97" s="84"/>
    </row>
    <row r="98" spans="1:18" ht="12.75" customHeight="1">
      <c r="A98" s="27">
        <v>98125</v>
      </c>
      <c r="B98" s="44" t="s">
        <v>81</v>
      </c>
      <c r="C98" s="29"/>
      <c r="D98" s="29"/>
      <c r="E98" s="30"/>
      <c r="F98" s="30">
        <v>45000</v>
      </c>
      <c r="G98" s="39">
        <v>45000</v>
      </c>
      <c r="H98" s="40" t="s">
        <v>18</v>
      </c>
      <c r="I98" s="41" t="s">
        <v>18</v>
      </c>
      <c r="J98" s="40" t="s">
        <v>18</v>
      </c>
      <c r="K98" s="46" t="s">
        <v>18</v>
      </c>
      <c r="L98" s="30">
        <f>SUM(G98:K98)</f>
        <v>45000</v>
      </c>
      <c r="M98" s="89"/>
      <c r="N98" s="78"/>
      <c r="O98" s="78"/>
      <c r="P98" s="78"/>
      <c r="R98" s="84"/>
    </row>
    <row r="99" spans="1:18" ht="6" customHeight="1">
      <c r="A99" s="27"/>
      <c r="B99" s="44"/>
      <c r="C99" s="29"/>
      <c r="D99" s="29"/>
      <c r="E99" s="30"/>
      <c r="F99" s="30"/>
      <c r="G99" s="39"/>
      <c r="H99" s="40"/>
      <c r="I99" s="43"/>
      <c r="J99" s="40"/>
      <c r="K99" s="46"/>
      <c r="L99" s="30"/>
      <c r="M99" s="89"/>
      <c r="N99" s="78"/>
      <c r="O99" s="78"/>
      <c r="P99" s="78"/>
      <c r="R99" s="84"/>
    </row>
    <row r="100" spans="1:18" ht="12.75" customHeight="1">
      <c r="A100" s="27"/>
      <c r="B100" s="45" t="s">
        <v>82</v>
      </c>
      <c r="C100" s="29"/>
      <c r="D100" s="29"/>
      <c r="E100" s="30"/>
      <c r="F100" s="30">
        <v>9600</v>
      </c>
      <c r="G100" s="39">
        <v>9600</v>
      </c>
      <c r="H100" s="40" t="s">
        <v>18</v>
      </c>
      <c r="I100" s="43" t="s">
        <v>18</v>
      </c>
      <c r="J100" s="40" t="s">
        <v>18</v>
      </c>
      <c r="K100" s="46" t="s">
        <v>18</v>
      </c>
      <c r="L100" s="30">
        <f>SUM(G100:K100)</f>
        <v>9600</v>
      </c>
      <c r="M100" s="89"/>
      <c r="N100" s="78"/>
      <c r="O100" s="78"/>
      <c r="P100" s="78"/>
      <c r="R100" s="84"/>
    </row>
    <row r="101" spans="1:18" ht="12.75" customHeight="1">
      <c r="A101" s="27"/>
      <c r="B101" s="44"/>
      <c r="C101" s="29"/>
      <c r="D101" s="29"/>
      <c r="E101" s="30"/>
      <c r="F101" s="30"/>
      <c r="G101" s="39"/>
      <c r="H101" s="40"/>
      <c r="I101" s="43"/>
      <c r="J101" s="40"/>
      <c r="K101" s="46"/>
      <c r="L101" s="30"/>
      <c r="M101" s="89"/>
      <c r="N101" s="78"/>
      <c r="O101" s="78"/>
      <c r="P101" s="78"/>
      <c r="R101" s="84"/>
    </row>
    <row r="102" spans="1:18" ht="12.75" customHeight="1">
      <c r="A102" s="27">
        <v>98530</v>
      </c>
      <c r="B102" s="23" t="s">
        <v>83</v>
      </c>
      <c r="C102" s="29"/>
      <c r="D102" s="29"/>
      <c r="E102" s="29"/>
      <c r="F102" s="36">
        <v>688210</v>
      </c>
      <c r="G102" s="39">
        <f>'[1]renewal schedule 07-11-05'!H68</f>
        <v>688210</v>
      </c>
      <c r="H102" s="39">
        <f>'[1]renewal schedule 07-11-05'!I68</f>
        <v>904000</v>
      </c>
      <c r="I102" s="57">
        <f>'[1]renewal schedule 07-11-05'!J68</f>
        <v>653000</v>
      </c>
      <c r="J102" s="39">
        <f>'[1]renewal schedule 07-11-05'!K68</f>
        <v>450000</v>
      </c>
      <c r="K102" s="47">
        <f>146570+689730</f>
        <v>836300</v>
      </c>
      <c r="L102" s="30">
        <f>SUM(G102:K102)</f>
        <v>3531510</v>
      </c>
      <c r="M102" s="89"/>
      <c r="N102" s="78"/>
      <c r="O102" s="78"/>
      <c r="P102" s="78"/>
      <c r="R102" s="84"/>
    </row>
    <row r="103" spans="1:18" ht="12.75" customHeight="1">
      <c r="A103" s="27">
        <v>98535</v>
      </c>
      <c r="B103" s="44"/>
      <c r="C103" s="29"/>
      <c r="D103" s="29"/>
      <c r="E103" s="29"/>
      <c r="F103" s="36"/>
      <c r="G103" s="51"/>
      <c r="H103" s="52"/>
      <c r="I103" s="58"/>
      <c r="J103" s="52"/>
      <c r="K103" s="53"/>
      <c r="L103" s="50"/>
      <c r="M103" s="89"/>
      <c r="N103" s="78"/>
      <c r="O103" s="78"/>
      <c r="P103" s="78"/>
      <c r="R103" s="84"/>
    </row>
    <row r="104" spans="1:12" ht="13.5" customHeight="1" thickBot="1">
      <c r="A104" s="27">
        <v>98540</v>
      </c>
      <c r="B104" s="59" t="s">
        <v>84</v>
      </c>
      <c r="C104" s="60"/>
      <c r="D104" s="49"/>
      <c r="E104" s="49"/>
      <c r="F104" s="61">
        <f aca="true" t="shared" si="2" ref="F104:L104">SUM(F6:F103)</f>
        <v>11867820</v>
      </c>
      <c r="G104" s="61">
        <f t="shared" si="2"/>
        <v>8807140</v>
      </c>
      <c r="H104" s="62">
        <f t="shared" si="2"/>
        <v>7466380</v>
      </c>
      <c r="I104" s="63">
        <f t="shared" si="2"/>
        <v>3138220</v>
      </c>
      <c r="J104" s="61">
        <f t="shared" si="2"/>
        <v>2560400</v>
      </c>
      <c r="K104" s="63">
        <f t="shared" si="2"/>
        <v>6361890</v>
      </c>
      <c r="L104" s="61">
        <f t="shared" si="2"/>
        <v>28334030</v>
      </c>
    </row>
    <row r="105" spans="1:12" ht="13.5" thickTop="1">
      <c r="A105" s="27"/>
      <c r="B105" s="5"/>
      <c r="C105" s="6"/>
      <c r="D105" s="6"/>
      <c r="E105" s="7"/>
      <c r="F105" s="86" t="s">
        <v>0</v>
      </c>
      <c r="G105" s="87"/>
      <c r="H105" s="2" t="s">
        <v>1</v>
      </c>
      <c r="I105" s="2" t="s">
        <v>2</v>
      </c>
      <c r="J105" s="2" t="s">
        <v>3</v>
      </c>
      <c r="K105" s="10"/>
      <c r="L105" s="26"/>
    </row>
    <row r="106" spans="1:12" ht="12.75">
      <c r="A106" s="27"/>
      <c r="B106" s="90" t="s">
        <v>6</v>
      </c>
      <c r="C106" s="91"/>
      <c r="D106" s="91"/>
      <c r="E106" s="92"/>
      <c r="F106" s="12" t="s">
        <v>7</v>
      </c>
      <c r="G106" s="13" t="s">
        <v>8</v>
      </c>
      <c r="H106" s="13" t="s">
        <v>9</v>
      </c>
      <c r="I106" s="13" t="s">
        <v>9</v>
      </c>
      <c r="J106" s="64" t="s">
        <v>10</v>
      </c>
      <c r="K106" s="65"/>
      <c r="L106" s="26"/>
    </row>
    <row r="107" spans="1:12" ht="12.75">
      <c r="A107" s="37"/>
      <c r="B107" s="66"/>
      <c r="C107" s="1"/>
      <c r="D107" s="1"/>
      <c r="E107" s="11"/>
      <c r="F107" s="16"/>
      <c r="G107" s="13"/>
      <c r="H107" s="13"/>
      <c r="I107" s="13"/>
      <c r="J107" s="64"/>
      <c r="K107" s="67"/>
      <c r="L107" s="26"/>
    </row>
    <row r="108" spans="1:12" ht="12.75">
      <c r="A108" s="27"/>
      <c r="B108" s="19"/>
      <c r="C108" s="20"/>
      <c r="D108" s="20"/>
      <c r="E108" s="21"/>
      <c r="F108" s="22" t="s">
        <v>14</v>
      </c>
      <c r="G108" s="22" t="s">
        <v>14</v>
      </c>
      <c r="H108" s="22" t="s">
        <v>14</v>
      </c>
      <c r="I108" s="22" t="s">
        <v>14</v>
      </c>
      <c r="J108" s="68" t="s">
        <v>14</v>
      </c>
      <c r="K108" s="10"/>
      <c r="L108" s="26"/>
    </row>
    <row r="109" spans="1:12" ht="13.5" customHeight="1">
      <c r="A109" s="27"/>
      <c r="B109" s="69"/>
      <c r="C109" s="70"/>
      <c r="D109" s="29"/>
      <c r="E109" s="29"/>
      <c r="F109" s="36"/>
      <c r="G109" s="71"/>
      <c r="H109" s="71"/>
      <c r="I109" s="71"/>
      <c r="J109" s="72"/>
      <c r="K109" s="72"/>
      <c r="L109" s="73"/>
    </row>
    <row r="110" spans="1:12" ht="15.75">
      <c r="A110" s="27"/>
      <c r="B110" s="28" t="s">
        <v>85</v>
      </c>
      <c r="C110" s="29"/>
      <c r="D110" s="29"/>
      <c r="E110" s="29"/>
      <c r="F110" s="36"/>
      <c r="G110" s="36"/>
      <c r="H110" s="36"/>
      <c r="I110" s="36"/>
      <c r="J110" s="35"/>
      <c r="K110" s="35"/>
      <c r="L110" s="29"/>
    </row>
    <row r="111" spans="1:12" ht="12.75">
      <c r="A111" s="27"/>
      <c r="B111" s="23"/>
      <c r="C111" s="74"/>
      <c r="D111" s="74"/>
      <c r="E111" s="74"/>
      <c r="F111" s="75"/>
      <c r="G111" s="75"/>
      <c r="H111" s="75"/>
      <c r="I111" s="75"/>
      <c r="J111" s="44"/>
      <c r="K111" s="44"/>
      <c r="L111" s="74"/>
    </row>
    <row r="112" spans="1:12" ht="12.75">
      <c r="A112" s="27"/>
      <c r="B112" s="35" t="s">
        <v>86</v>
      </c>
      <c r="C112" s="29"/>
      <c r="D112" s="29"/>
      <c r="E112" s="29"/>
      <c r="F112" s="36">
        <f>F104-SUM(F113:F131)</f>
        <v>4961290</v>
      </c>
      <c r="G112" s="36">
        <f>G104-SUM(G113:G131)</f>
        <v>1581460</v>
      </c>
      <c r="H112" s="36">
        <f>H104-SUM(H113:H131)</f>
        <v>3527350</v>
      </c>
      <c r="I112" s="36">
        <f>I104-SUM(I113:I131)</f>
        <v>172900</v>
      </c>
      <c r="J112" s="35">
        <f>J104-SUM(J113:J131)</f>
        <v>120400</v>
      </c>
      <c r="K112" s="35"/>
      <c r="L112" s="29"/>
    </row>
    <row r="113" spans="1:12" ht="12.75">
      <c r="A113" s="27"/>
      <c r="B113" s="35" t="s">
        <v>87</v>
      </c>
      <c r="C113" s="29"/>
      <c r="D113" s="29"/>
      <c r="E113" s="29"/>
      <c r="F113" s="36">
        <f>F73+F74+F75+F72-F114</f>
        <v>3509600</v>
      </c>
      <c r="G113" s="36">
        <f>G73+G74+G75+G72-G114-G129</f>
        <v>3452600</v>
      </c>
      <c r="H113" s="71">
        <f>H72+H73+H75-H114</f>
        <v>2070000</v>
      </c>
      <c r="I113" s="71">
        <f>I72+I73+I75-I114</f>
        <v>2070000</v>
      </c>
      <c r="J113" s="72">
        <f>J73+J75</f>
        <v>1990000</v>
      </c>
      <c r="K113" s="35"/>
      <c r="L113" s="29"/>
    </row>
    <row r="114" spans="1:12" ht="12.75">
      <c r="A114" s="27"/>
      <c r="B114" s="44" t="s">
        <v>88</v>
      </c>
      <c r="C114" s="29"/>
      <c r="D114" s="29"/>
      <c r="E114" s="29"/>
      <c r="F114" s="36">
        <v>231000</v>
      </c>
      <c r="G114" s="76">
        <v>288000</v>
      </c>
      <c r="H114" s="71">
        <v>200000</v>
      </c>
      <c r="I114" s="71">
        <v>200000</v>
      </c>
      <c r="J114" s="33" t="s">
        <v>18</v>
      </c>
      <c r="K114" s="35"/>
      <c r="L114" s="29"/>
    </row>
    <row r="115" spans="1:12" ht="12.75">
      <c r="A115" s="27"/>
      <c r="B115" s="44" t="s">
        <v>89</v>
      </c>
      <c r="C115" s="29"/>
      <c r="D115" s="29"/>
      <c r="E115" s="29"/>
      <c r="F115" s="36">
        <v>955000</v>
      </c>
      <c r="G115" s="76">
        <v>1059150</v>
      </c>
      <c r="H115" s="71">
        <v>19850</v>
      </c>
      <c r="I115" s="31" t="s">
        <v>18</v>
      </c>
      <c r="J115" s="33" t="s">
        <v>18</v>
      </c>
      <c r="K115" s="35"/>
      <c r="L115" s="29"/>
    </row>
    <row r="116" spans="1:12" ht="12.75">
      <c r="A116" s="27"/>
      <c r="B116" s="44" t="s">
        <v>90</v>
      </c>
      <c r="C116" s="29"/>
      <c r="D116" s="29"/>
      <c r="E116" s="29"/>
      <c r="F116" s="36">
        <v>78060</v>
      </c>
      <c r="G116" s="76">
        <v>78060</v>
      </c>
      <c r="H116" s="31" t="s">
        <v>18</v>
      </c>
      <c r="I116" s="31" t="s">
        <v>18</v>
      </c>
      <c r="J116" s="33" t="s">
        <v>18</v>
      </c>
      <c r="K116" s="35"/>
      <c r="L116" s="29"/>
    </row>
    <row r="117" spans="1:12" ht="12.75">
      <c r="A117" s="27"/>
      <c r="B117" s="44" t="s">
        <v>91</v>
      </c>
      <c r="C117" s="29"/>
      <c r="D117" s="29"/>
      <c r="E117" s="29"/>
      <c r="F117" s="36">
        <v>300000</v>
      </c>
      <c r="G117" s="76">
        <f>300000+27000+23000</f>
        <v>350000</v>
      </c>
      <c r="H117" s="31" t="s">
        <v>18</v>
      </c>
      <c r="I117" s="31" t="s">
        <v>18</v>
      </c>
      <c r="J117" s="33" t="s">
        <v>18</v>
      </c>
      <c r="K117" s="35"/>
      <c r="L117" s="29"/>
    </row>
    <row r="118" spans="1:12" ht="12.75">
      <c r="A118" s="27"/>
      <c r="B118" s="44" t="s">
        <v>92</v>
      </c>
      <c r="C118" s="29"/>
      <c r="D118" s="29"/>
      <c r="E118" s="29"/>
      <c r="F118" s="36">
        <v>354700</v>
      </c>
      <c r="G118" s="76">
        <f>227000+92863+34837+35000</f>
        <v>389700</v>
      </c>
      <c r="H118" s="31" t="s">
        <v>18</v>
      </c>
      <c r="I118" s="31" t="s">
        <v>18</v>
      </c>
      <c r="J118" s="33" t="s">
        <v>18</v>
      </c>
      <c r="K118" s="35"/>
      <c r="L118" s="29"/>
    </row>
    <row r="119" spans="1:12" ht="12.75">
      <c r="A119" s="27"/>
      <c r="B119" s="44" t="s">
        <v>93</v>
      </c>
      <c r="C119" s="29"/>
      <c r="D119" s="29"/>
      <c r="E119" s="29"/>
      <c r="F119" s="31" t="s">
        <v>18</v>
      </c>
      <c r="G119" s="31" t="s">
        <v>18</v>
      </c>
      <c r="H119" s="71">
        <v>69770</v>
      </c>
      <c r="I119" s="31" t="s">
        <v>18</v>
      </c>
      <c r="J119" s="33" t="s">
        <v>18</v>
      </c>
      <c r="K119" s="35"/>
      <c r="L119" s="29"/>
    </row>
    <row r="120" spans="1:12" ht="12.75">
      <c r="A120" s="27"/>
      <c r="B120" s="44" t="s">
        <v>94</v>
      </c>
      <c r="C120" s="29"/>
      <c r="D120" s="29"/>
      <c r="E120" s="29"/>
      <c r="F120" s="36">
        <v>255720</v>
      </c>
      <c r="G120" s="71">
        <f>150000+150000-38500-5776-4</f>
        <v>255720</v>
      </c>
      <c r="H120" s="31" t="s">
        <v>18</v>
      </c>
      <c r="I120" s="31" t="s">
        <v>18</v>
      </c>
      <c r="J120" s="33" t="s">
        <v>18</v>
      </c>
      <c r="K120" s="35"/>
      <c r="L120" s="29"/>
    </row>
    <row r="121" spans="1:12" ht="12.75">
      <c r="A121" s="27"/>
      <c r="B121" s="44" t="s">
        <v>95</v>
      </c>
      <c r="C121" s="29"/>
      <c r="D121" s="29"/>
      <c r="E121" s="29"/>
      <c r="F121" s="36">
        <v>128500</v>
      </c>
      <c r="G121" s="71">
        <f>38500+90000</f>
        <v>128500</v>
      </c>
      <c r="H121" s="31" t="s">
        <v>18</v>
      </c>
      <c r="I121" s="31" t="s">
        <v>18</v>
      </c>
      <c r="J121" s="33" t="s">
        <v>18</v>
      </c>
      <c r="K121" s="35"/>
      <c r="L121" s="29"/>
    </row>
    <row r="122" spans="1:16" ht="12.75" customHeight="1">
      <c r="A122" s="27"/>
      <c r="B122" s="35" t="s">
        <v>96</v>
      </c>
      <c r="C122" s="29"/>
      <c r="D122" s="29"/>
      <c r="E122" s="29"/>
      <c r="F122" s="36">
        <v>187350</v>
      </c>
      <c r="G122" s="71">
        <f>90000+126410-29060</f>
        <v>187350</v>
      </c>
      <c r="H122" s="31" t="s">
        <v>18</v>
      </c>
      <c r="I122" s="31" t="s">
        <v>18</v>
      </c>
      <c r="J122" s="33" t="s">
        <v>18</v>
      </c>
      <c r="K122" s="35"/>
      <c r="L122" s="29"/>
      <c r="M122" s="77"/>
      <c r="N122" s="77"/>
      <c r="O122" s="77"/>
      <c r="P122" s="77"/>
    </row>
    <row r="123" spans="1:16" ht="12.75">
      <c r="A123" s="27"/>
      <c r="B123" s="35" t="s">
        <v>97</v>
      </c>
      <c r="C123" s="29"/>
      <c r="D123" s="29"/>
      <c r="E123" s="29"/>
      <c r="F123" s="36">
        <v>20000</v>
      </c>
      <c r="G123" s="71">
        <v>20000</v>
      </c>
      <c r="H123" s="31" t="s">
        <v>18</v>
      </c>
      <c r="I123" s="31" t="s">
        <v>18</v>
      </c>
      <c r="J123" s="33" t="s">
        <v>18</v>
      </c>
      <c r="K123" s="35"/>
      <c r="L123" s="29"/>
      <c r="M123" s="78"/>
      <c r="N123" s="78"/>
      <c r="O123" s="78"/>
      <c r="P123" s="78"/>
    </row>
    <row r="124" spans="1:16" ht="12.75">
      <c r="A124" s="27"/>
      <c r="B124" s="35" t="s">
        <v>98</v>
      </c>
      <c r="C124" s="29"/>
      <c r="D124" s="29"/>
      <c r="E124" s="29"/>
      <c r="F124" s="31" t="s">
        <v>18</v>
      </c>
      <c r="G124" s="31" t="s">
        <v>18</v>
      </c>
      <c r="H124" s="71">
        <v>40410</v>
      </c>
      <c r="I124" s="71">
        <v>42320</v>
      </c>
      <c r="J124" s="33" t="s">
        <v>18</v>
      </c>
      <c r="K124" s="35"/>
      <c r="L124" s="29"/>
      <c r="M124" s="78"/>
      <c r="N124" s="78"/>
      <c r="O124" s="78"/>
      <c r="P124" s="78"/>
    </row>
    <row r="125" spans="1:16" ht="12.75" customHeight="1">
      <c r="A125" s="27"/>
      <c r="B125" s="35" t="s">
        <v>99</v>
      </c>
      <c r="C125" s="29"/>
      <c r="D125" s="29"/>
      <c r="E125" s="29"/>
      <c r="F125" s="36">
        <v>7300</v>
      </c>
      <c r="G125" s="71">
        <f>7303-3</f>
        <v>7300</v>
      </c>
      <c r="H125" s="31" t="s">
        <v>18</v>
      </c>
      <c r="I125" s="31" t="s">
        <v>18</v>
      </c>
      <c r="J125" s="33" t="s">
        <v>18</v>
      </c>
      <c r="K125" s="35"/>
      <c r="L125" s="29"/>
      <c r="M125" s="78"/>
      <c r="N125" s="78"/>
      <c r="O125" s="78"/>
      <c r="P125" s="78"/>
    </row>
    <row r="126" spans="1:16" ht="12.75">
      <c r="A126" s="27"/>
      <c r="B126" s="35" t="s">
        <v>100</v>
      </c>
      <c r="C126" s="29"/>
      <c r="D126" s="29"/>
      <c r="E126" s="29"/>
      <c r="F126" s="36">
        <v>191090</v>
      </c>
      <c r="G126" s="71">
        <f>20000+171090</f>
        <v>191090</v>
      </c>
      <c r="H126" s="31" t="s">
        <v>18</v>
      </c>
      <c r="I126" s="31" t="s">
        <v>18</v>
      </c>
      <c r="J126" s="33" t="s">
        <v>18</v>
      </c>
      <c r="K126" s="35"/>
      <c r="L126" s="29"/>
      <c r="M126" s="78"/>
      <c r="N126" s="78"/>
      <c r="O126" s="78"/>
      <c r="P126" s="78"/>
    </row>
    <row r="127" spans="1:16" ht="12.75" customHeight="1">
      <c r="A127" s="27"/>
      <c r="B127" s="35" t="s">
        <v>101</v>
      </c>
      <c r="C127" s="29"/>
      <c r="D127" s="29"/>
      <c r="E127" s="29"/>
      <c r="F127" s="31" t="s">
        <v>18</v>
      </c>
      <c r="G127" s="71">
        <v>30000</v>
      </c>
      <c r="H127" s="71">
        <v>20000</v>
      </c>
      <c r="I127" s="31" t="s">
        <v>18</v>
      </c>
      <c r="J127" s="33" t="s">
        <v>18</v>
      </c>
      <c r="K127" s="35"/>
      <c r="L127" s="29"/>
      <c r="M127" s="78"/>
      <c r="N127" s="78"/>
      <c r="O127" s="78"/>
      <c r="P127" s="78"/>
    </row>
    <row r="128" spans="1:16" ht="12.75">
      <c r="A128" s="27"/>
      <c r="B128" s="35" t="s">
        <v>102</v>
      </c>
      <c r="C128" s="29"/>
      <c r="D128" s="29"/>
      <c r="E128" s="29"/>
      <c r="F128" s="31" t="s">
        <v>18</v>
      </c>
      <c r="G128" s="31" t="s">
        <v>18</v>
      </c>
      <c r="H128" s="71">
        <v>50000</v>
      </c>
      <c r="I128" s="31" t="s">
        <v>18</v>
      </c>
      <c r="J128" s="33" t="s">
        <v>18</v>
      </c>
      <c r="K128" s="35"/>
      <c r="L128" s="29"/>
      <c r="M128" s="78"/>
      <c r="N128" s="78"/>
      <c r="O128" s="78"/>
      <c r="P128" s="78"/>
    </row>
    <row r="129" spans="1:16" ht="12.75">
      <c r="A129" s="27"/>
      <c r="B129" s="35" t="s">
        <v>103</v>
      </c>
      <c r="C129" s="29"/>
      <c r="D129" s="29"/>
      <c r="E129" s="29"/>
      <c r="F129" s="31" t="s">
        <v>18</v>
      </c>
      <c r="G129" s="71">
        <v>100000</v>
      </c>
      <c r="H129" s="31" t="s">
        <v>18</v>
      </c>
      <c r="I129" s="31" t="s">
        <v>18</v>
      </c>
      <c r="J129" s="33" t="s">
        <v>18</v>
      </c>
      <c r="K129" s="35"/>
      <c r="L129" s="29"/>
      <c r="M129" s="78"/>
      <c r="N129" s="78"/>
      <c r="O129" s="78"/>
      <c r="P129" s="78"/>
    </row>
    <row r="130" spans="1:16" ht="12.75">
      <c r="A130" s="27"/>
      <c r="B130" s="35" t="s">
        <v>104</v>
      </c>
      <c r="C130" s="29"/>
      <c r="D130" s="29"/>
      <c r="E130" s="29"/>
      <c r="F130" s="36">
        <v>688210</v>
      </c>
      <c r="G130" s="71">
        <f>G102</f>
        <v>688210</v>
      </c>
      <c r="H130" s="71">
        <f>H102-200000</f>
        <v>704000</v>
      </c>
      <c r="I130" s="71">
        <f>I102</f>
        <v>653000</v>
      </c>
      <c r="J130" s="72">
        <f>J102</f>
        <v>450000</v>
      </c>
      <c r="K130" s="35"/>
      <c r="L130" s="29"/>
      <c r="M130" s="78"/>
      <c r="N130" s="78"/>
      <c r="O130" s="78"/>
      <c r="P130" s="78"/>
    </row>
    <row r="131" spans="1:16" ht="12.75">
      <c r="A131" s="27"/>
      <c r="B131" s="35" t="s">
        <v>105</v>
      </c>
      <c r="C131" s="29"/>
      <c r="D131" s="29"/>
      <c r="E131" s="29"/>
      <c r="F131" s="31" t="s">
        <v>18</v>
      </c>
      <c r="G131" s="79" t="s">
        <v>18</v>
      </c>
      <c r="H131" s="80">
        <f>200000+100000+100000+195000+170000</f>
        <v>765000</v>
      </c>
      <c r="I131" s="79" t="s">
        <v>18</v>
      </c>
      <c r="J131" s="79" t="s">
        <v>18</v>
      </c>
      <c r="K131" s="35"/>
      <c r="L131" s="29"/>
      <c r="M131" s="78"/>
      <c r="N131" s="78"/>
      <c r="O131" s="78"/>
      <c r="P131" s="78"/>
    </row>
    <row r="132" spans="1:16" ht="13.5" thickBot="1">
      <c r="A132" s="18"/>
      <c r="B132" s="81"/>
      <c r="C132" s="49"/>
      <c r="D132" s="49"/>
      <c r="E132" s="49"/>
      <c r="F132" s="82">
        <f>SUM(F112:F130)</f>
        <v>11867820</v>
      </c>
      <c r="G132" s="82">
        <f>SUM(G112:G130)</f>
        <v>8807140</v>
      </c>
      <c r="H132" s="82">
        <f>SUM(H112:H131)</f>
        <v>7466380</v>
      </c>
      <c r="I132" s="82">
        <f>SUM(I112:I131)</f>
        <v>3138220</v>
      </c>
      <c r="J132" s="83">
        <f>SUM(J112:J131)</f>
        <v>2560400</v>
      </c>
      <c r="K132" s="35"/>
      <c r="L132" s="29"/>
      <c r="M132" s="78"/>
      <c r="N132" s="78"/>
      <c r="O132" s="78"/>
      <c r="P132" s="78"/>
    </row>
    <row r="133" spans="2:16" ht="13.5" thickTop="1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78"/>
      <c r="N133" s="78"/>
      <c r="O133" s="78"/>
      <c r="P133" s="78"/>
    </row>
    <row r="134" spans="2:16" ht="12.75">
      <c r="B134" s="55" t="s">
        <v>106</v>
      </c>
      <c r="M134" s="78"/>
      <c r="N134" s="78"/>
      <c r="O134" s="78"/>
      <c r="P134" s="78"/>
    </row>
    <row r="135" ht="12.75">
      <c r="B135" s="55" t="s">
        <v>107</v>
      </c>
    </row>
    <row r="144" ht="12.75">
      <c r="R144" s="84" t="s">
        <v>109</v>
      </c>
    </row>
    <row r="145" ht="12.75">
      <c r="R145" s="85"/>
    </row>
    <row r="146" ht="12.75">
      <c r="R146" s="85"/>
    </row>
    <row r="147" ht="12.75">
      <c r="R147" s="85"/>
    </row>
    <row r="148" ht="12.75">
      <c r="R148" s="85"/>
    </row>
    <row r="149" ht="12.75">
      <c r="R149" s="85"/>
    </row>
    <row r="150" ht="12.75">
      <c r="R150" s="85"/>
    </row>
    <row r="151" ht="12.75">
      <c r="R151" s="85"/>
    </row>
  </sheetData>
  <mergeCells count="10">
    <mergeCell ref="B51:E51"/>
    <mergeCell ref="B106:E106"/>
    <mergeCell ref="F1:G1"/>
    <mergeCell ref="R41:R49"/>
    <mergeCell ref="B2:E2"/>
    <mergeCell ref="R144:R151"/>
    <mergeCell ref="F50:G50"/>
    <mergeCell ref="F105:G105"/>
    <mergeCell ref="M96:M103"/>
    <mergeCell ref="R95:R103"/>
  </mergeCells>
  <printOptions horizontalCentered="1" verticalCentered="1"/>
  <pageMargins left="0.6692913385826772" right="0.35433070866141736" top="0.6299212598425197" bottom="0.4724409448818898" header="0.31496062992125984" footer="0.35433070866141736"/>
  <pageSetup horizontalDpi="600" verticalDpi="600" orientation="landscape" paperSize="9" scale="82" r:id="rId1"/>
  <headerFooter alignWithMargins="0">
    <oddHeader xml:space="preserve">&amp;C&amp;"Arial,Bold"&amp;14CAPITAL PROGRAMME 2005/2009&amp;RAGENDA ITEM NO. 10a </oddHeader>
    <oddFooter>&amp;LCouncil 1/3/06&amp;R AGENDA ITEM NO. 10a  
&amp;P
</oddFooter>
  </headerFooter>
  <rowBreaks count="2" manualBreakCount="2">
    <brk id="49" max="17" man="1"/>
    <brk id="10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Wyre Forest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Evans</dc:creator>
  <cp:keywords/>
  <dc:description/>
  <cp:lastModifiedBy>WFDC</cp:lastModifiedBy>
  <cp:lastPrinted>2006-02-14T10:35:33Z</cp:lastPrinted>
  <dcterms:created xsi:type="dcterms:W3CDTF">2006-02-08T10:40:49Z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